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silva\Downloads\"/>
    </mc:Choice>
  </mc:AlternateContent>
  <xr:revisionPtr revIDLastSave="0" documentId="13_ncr:1_{98EFBA76-099A-4A2C-BEEE-CEE809F515D1}" xr6:coauthVersionLast="47" xr6:coauthVersionMax="47" xr10:uidLastSave="{00000000-0000-0000-0000-000000000000}"/>
  <workbookProtection workbookPassword="E686" lockStructure="1"/>
  <bookViews>
    <workbookView xWindow="-120" yWindow="-120" windowWidth="29040" windowHeight="15840" tabRatio="778" xr2:uid="{00000000-000D-0000-FFFF-FFFF00000000}"/>
  </bookViews>
  <sheets>
    <sheet name="Dados da empresa" sheetId="81" r:id="rId1"/>
    <sheet name="Dados de custos" sheetId="84" r:id="rId2"/>
    <sheet name="Encargos sociais" sheetId="88" r:id="rId3"/>
    <sheet name="Orçam. sintético" sheetId="83" r:id="rId4"/>
    <sheet name="Orçam. analítico" sheetId="82" r:id="rId5"/>
    <sheet name="Cronograma Físico-Financeiro" sheetId="89" r:id="rId6"/>
  </sheets>
  <externalReferences>
    <externalReference r:id="rId7"/>
  </externalReferences>
  <definedNames>
    <definedName name="Foto">INDIRECT('[1]Anexo A'!$I$15)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84" l="1"/>
  <c r="C18" i="84"/>
  <c r="C10" i="89" l="1"/>
  <c r="C13" i="84" l="1"/>
  <c r="J5" i="82" l="1"/>
  <c r="C31" i="84"/>
  <c r="C29" i="84" s="1"/>
  <c r="C17" i="84"/>
  <c r="C41" i="84" l="1"/>
  <c r="C34" i="84"/>
  <c r="C28" i="84"/>
  <c r="C8" i="88"/>
  <c r="C9" i="88"/>
  <c r="C10" i="88"/>
  <c r="C11" i="88"/>
  <c r="C12" i="88"/>
  <c r="C14" i="88"/>
  <c r="C15" i="88"/>
  <c r="C22" i="88"/>
  <c r="C25" i="88"/>
  <c r="C31" i="88"/>
  <c r="C6" i="88" l="1"/>
  <c r="C38" i="88" s="1"/>
  <c r="C39" i="88" l="1"/>
  <c r="C37" i="88" s="1"/>
  <c r="C40" i="88" l="1"/>
  <c r="E23" i="81" l="1"/>
  <c r="C25" i="84" l="1"/>
  <c r="E4" i="83" l="1"/>
  <c r="E25" i="81" l="1"/>
  <c r="C39" i="84"/>
  <c r="C32" i="84"/>
  <c r="C26" i="84"/>
  <c r="C20" i="84"/>
  <c r="C11" i="84"/>
  <c r="I5" i="82" s="1"/>
  <c r="F31" i="81" l="1"/>
  <c r="C19" i="84"/>
  <c r="C16" i="84" s="1"/>
  <c r="E26" i="81" l="1"/>
  <c r="C48" i="84" l="1"/>
  <c r="C45" i="84"/>
  <c r="C44" i="84" s="1"/>
  <c r="M5" i="82" l="1"/>
  <c r="C15" i="84" l="1"/>
  <c r="C38" i="84" s="1"/>
  <c r="K5" i="82"/>
  <c r="C47" i="84" l="1"/>
  <c r="C50" i="84" s="1"/>
  <c r="L5" i="82"/>
  <c r="N5" i="82" s="1"/>
  <c r="C52" i="84" l="1"/>
  <c r="F5" i="82"/>
  <c r="G5" i="82" s="1"/>
  <c r="D9" i="89" l="1"/>
  <c r="E9" i="89" s="1"/>
  <c r="D8" i="89"/>
  <c r="E8" i="89" s="1"/>
  <c r="D7" i="89"/>
  <c r="E7" i="89" s="1"/>
  <c r="D6" i="89"/>
  <c r="E6" i="89" s="1"/>
  <c r="D10" i="89"/>
  <c r="D5" i="89"/>
  <c r="E5" i="89" s="1"/>
  <c r="D4" i="89"/>
  <c r="E4" i="89" s="1"/>
  <c r="G4" i="83"/>
  <c r="H5" i="82"/>
  <c r="E10" i="89" l="1"/>
  <c r="F4" i="89" s="1"/>
  <c r="H4" i="83"/>
  <c r="F8" i="89" l="1"/>
  <c r="F7" i="89"/>
  <c r="F6" i="89"/>
  <c r="F5" i="89"/>
  <c r="F9" i="89"/>
  <c r="F10" i="89" l="1"/>
</calcChain>
</file>

<file path=xl/sharedStrings.xml><?xml version="1.0" encoding="utf-8"?>
<sst xmlns="http://schemas.openxmlformats.org/spreadsheetml/2006/main" count="217" uniqueCount="167">
  <si>
    <t>UR</t>
  </si>
  <si>
    <t>Total</t>
  </si>
  <si>
    <t>Item</t>
  </si>
  <si>
    <t>Custo mensal</t>
  </si>
  <si>
    <t>Vale Refeição</t>
  </si>
  <si>
    <t>Vale Transporte</t>
  </si>
  <si>
    <t>Auxílio Creche</t>
  </si>
  <si>
    <t>Cesta Básica</t>
  </si>
  <si>
    <t>Norma Regulamentadora nº 07</t>
  </si>
  <si>
    <t>Uniformes e EPIs</t>
  </si>
  <si>
    <t>Materiais e Equipamentos</t>
  </si>
  <si>
    <t>BDI</t>
  </si>
  <si>
    <t>Valor</t>
  </si>
  <si>
    <t>Valor Unitário</t>
  </si>
  <si>
    <t>Componentes</t>
  </si>
  <si>
    <t>Administração Central</t>
  </si>
  <si>
    <t>Seguros</t>
  </si>
  <si>
    <t>Lucro</t>
  </si>
  <si>
    <t>PIS</t>
  </si>
  <si>
    <t>COFINS</t>
  </si>
  <si>
    <t>Grupo A - Encargos sociais básicos</t>
  </si>
  <si>
    <t>Previdência Social</t>
  </si>
  <si>
    <t>SESI</t>
  </si>
  <si>
    <t>SENAI</t>
  </si>
  <si>
    <t>INCRA</t>
  </si>
  <si>
    <t>SEBRAE</t>
  </si>
  <si>
    <t>Fundo de Garantia por Tempo de Serviço</t>
  </si>
  <si>
    <t>Grupo B - Tempo remunerado e não trabalhado</t>
  </si>
  <si>
    <t>Férias</t>
  </si>
  <si>
    <t>Ausênsia por enfermidade &lt;= 15 dias</t>
  </si>
  <si>
    <t>Ausênsias legais</t>
  </si>
  <si>
    <t>Licença paternidade</t>
  </si>
  <si>
    <t>Acidente de trabalho</t>
  </si>
  <si>
    <t>Aviso prévio trabalho</t>
  </si>
  <si>
    <t>GRUPO C - Adicional de férias e 13º Salário</t>
  </si>
  <si>
    <t>Adicional de férias</t>
  </si>
  <si>
    <t>13º salário</t>
  </si>
  <si>
    <t>GRUPO D -Obrigações rescisórias</t>
  </si>
  <si>
    <t>Aviso prévio indenizado</t>
  </si>
  <si>
    <t>Incidência do FGTS sobre o aviso prévio indenizado</t>
  </si>
  <si>
    <t>Inc. da multa FGTS e da Contribuição Social sobre os depósitos do FGTS</t>
  </si>
  <si>
    <t>Inc. da multa FGTS e da Contribuição Social sobre o aviso prévio indenizado</t>
  </si>
  <si>
    <t>Inc. da multa FGTS e da Contribuição Social sobre o aviso prévio trabalhado</t>
  </si>
  <si>
    <t>GRUPO E - Aprovisionamento de casos especiais</t>
  </si>
  <si>
    <t>Incidência do Grupo A sobre afastamento por licença maternidade</t>
  </si>
  <si>
    <t>Incidência do FGTS sobre o acidente de trabalho &gt; 15 dias</t>
  </si>
  <si>
    <t>Percentual referente ao abono pecúniário</t>
  </si>
  <si>
    <t>Percentual referente ao reflexo do aviso prévio indenizado sobre férias e 13º salário</t>
  </si>
  <si>
    <t>Incidência do FGTS sobre reflexo do aviso prévio indenizado sobre 13º salário</t>
  </si>
  <si>
    <t>Incidência Grupo A sobre o Grupo B</t>
  </si>
  <si>
    <t>Incidência Grupo A sobre o Grupo C</t>
  </si>
  <si>
    <t>Parcela trabalhador</t>
  </si>
  <si>
    <t>Crédito PIS/COFINS</t>
  </si>
  <si>
    <t>Assistência Médica Familiar</t>
  </si>
  <si>
    <t>Remuneração</t>
  </si>
  <si>
    <t>Insumos diversos</t>
  </si>
  <si>
    <t>Salário Base</t>
  </si>
  <si>
    <t>Parcela do trabalhador</t>
  </si>
  <si>
    <t>Valor diário</t>
  </si>
  <si>
    <t>Vale adicional - Dia da categoria</t>
  </si>
  <si>
    <t>Unidade</t>
  </si>
  <si>
    <t>Mensal</t>
  </si>
  <si>
    <t>CNPJ</t>
  </si>
  <si>
    <t>Razão Social</t>
  </si>
  <si>
    <t>Endereço</t>
  </si>
  <si>
    <t>Telefone</t>
  </si>
  <si>
    <t>Contato</t>
  </si>
  <si>
    <t>Quantidade</t>
  </si>
  <si>
    <t>Posto</t>
  </si>
  <si>
    <t>Outros benefícios</t>
  </si>
  <si>
    <t>Encargos sociais e trabalhistas</t>
  </si>
  <si>
    <t>Detalhamento valor unitário</t>
  </si>
  <si>
    <t>Valor unitário mensal</t>
  </si>
  <si>
    <t>Valor total mensal</t>
  </si>
  <si>
    <t>Valor total contrato</t>
  </si>
  <si>
    <t>Prazo contratual (meses)</t>
  </si>
  <si>
    <t>Regime de tributação</t>
  </si>
  <si>
    <t>Seguro contra acidentes de trabalho (SAT) (RATxFAP)</t>
  </si>
  <si>
    <t>E-mail</t>
  </si>
  <si>
    <t>% do faturamento</t>
  </si>
  <si>
    <t>DADOS DA EMPRESA</t>
  </si>
  <si>
    <t>ORÇAMENTO - POR POSTO</t>
  </si>
  <si>
    <t>CÁLCULO DOS ENCARGOS SOCIAIS E TRABALHISTAS</t>
  </si>
  <si>
    <t>RAT</t>
  </si>
  <si>
    <t>FAP</t>
  </si>
  <si>
    <t>Valor total do contrato</t>
  </si>
  <si>
    <t>Fonte/Fundamento</t>
  </si>
  <si>
    <t>TOTAL DOS ENCARGOS SOCIAIS (Percentual do salário base)</t>
  </si>
  <si>
    <t>Salário-educação</t>
  </si>
  <si>
    <t>Lei nº 8.212/91</t>
  </si>
  <si>
    <t>Lei nº 8.036/90</t>
  </si>
  <si>
    <t>DL nº 2.318/86</t>
  </si>
  <si>
    <t>DL nº 1.146/70</t>
  </si>
  <si>
    <t>Lei nº 8.029/90</t>
  </si>
  <si>
    <t>Lei nº 9.424/96, DL nº 6.003/2006 e art. 212, § 5º da CF</t>
  </si>
  <si>
    <t xml:space="preserve">COMPONENTES DO BDI </t>
  </si>
  <si>
    <t>DADOS DOS MUNICÍPIOS - VALE TRANSPORTE, ISS E RESULTADO BDI</t>
  </si>
  <si>
    <t>A empresa utiliza crédito de PIS/Cofins?</t>
  </si>
  <si>
    <t>CRONOGRAMA FÍSICO-FINANCEIRO</t>
  </si>
  <si>
    <t>Fonte</t>
  </si>
  <si>
    <t>Lei 9.718/1998, Lei 10.833/2003, Lei 10.637/2002 e Lei Complementar nº 123/2006</t>
  </si>
  <si>
    <t>BDI - Calculado de acordo com a seguinte fórmula:</t>
  </si>
  <si>
    <t>Observações:</t>
  </si>
  <si>
    <t>Lucro bruto</t>
  </si>
  <si>
    <t>Despesas indiretas</t>
  </si>
  <si>
    <t>Despesas fiscais</t>
  </si>
  <si>
    <t>(1) Remuneração</t>
  </si>
  <si>
    <t>(2) Benefícios mensais e diários</t>
  </si>
  <si>
    <t>(3) Insumos diversos</t>
  </si>
  <si>
    <t>(4) Encargos Sociais e Trabalhistas</t>
  </si>
  <si>
    <t>(5) BDI</t>
  </si>
  <si>
    <t>Percentual sobre os itens (1)+(2)+(3)+(4)</t>
  </si>
  <si>
    <t>Percentual sobre o salário base</t>
  </si>
  <si>
    <t>Total - valor unitário mensal - (1)+(2)+(3)+(4)+(5)</t>
  </si>
  <si>
    <t xml:space="preserve">GRUPO F – Incidências cumulativas - Incidência Grupo A x (Grupos B + C) </t>
  </si>
  <si>
    <t>Valor do desconto por dia não trabalhado</t>
  </si>
  <si>
    <t>Fonte/Cálculo</t>
  </si>
  <si>
    <t>ORÇAMENTO SINTÉTICO - CONSOLIDADO POR ITEM</t>
  </si>
  <si>
    <t>INSTRUÇÕES PARA PREENCHIMENTO</t>
  </si>
  <si>
    <t>Dias efetivamente trabalhados por mês</t>
  </si>
  <si>
    <t>= Valor unitário mensal/Dias efetivamente trabalhados por mês</t>
  </si>
  <si>
    <t>Periodicidade do pagamento</t>
  </si>
  <si>
    <t>Benefício social</t>
  </si>
  <si>
    <t>Faixa Simples Nacional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</si>
  <si>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rFont val="Calibri"/>
        <family val="2"/>
        <scheme val="minor"/>
      </rPr>
      <t>, nas abas "Dados da empresa", "Dados do orçamento" e "Encargos sociais";</t>
    </r>
    <r>
      <rPr>
        <b/>
        <sz val="10"/>
        <color theme="1"/>
        <rFont val="Calibri"/>
        <family val="2"/>
        <scheme val="minor"/>
      </rPr>
      <t xml:space="preserve">
• Arredondar valores para a segunda casa decimal.</t>
    </r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</si>
  <si>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>azul</t>
    </r>
    <r>
      <rPr>
        <b/>
        <sz val="10"/>
        <color theme="1"/>
        <rFont val="Calibri"/>
        <family val="2"/>
        <scheme val="minor"/>
      </rPr>
      <t>;
• Arredondar valores para a quarta casa decimal;
• Os valores deverão ser preenchidos com os percentuais próprios da empresa, tendo por base a sua realidade.</t>
    </r>
  </si>
  <si>
    <t>ORÇAMENTO ANALÍTICO</t>
  </si>
  <si>
    <t>Capital</t>
  </si>
  <si>
    <t>Local</t>
  </si>
  <si>
    <t>Auxiliar de limpeza 44h
com adicional de insalubridade</t>
  </si>
  <si>
    <t>Fonte: CadTerc vol. 7 - 2024 - Jornada 44h seg a sex</t>
  </si>
  <si>
    <t>CCT 2024/2025 - Cláusula 3ª</t>
  </si>
  <si>
    <t>CCT 2024/2025 - Cláusula 10ª</t>
  </si>
  <si>
    <t>CCT 2024/2025 - Cláusula 16ª - 2 tarifas* Dias trabalhados por mês</t>
  </si>
  <si>
    <t>CCT 2024/2025 - Cláusula 16ª - 6% do salário base</t>
  </si>
  <si>
    <t>CCT 2024/2025 - Cláusula 15ª</t>
  </si>
  <si>
    <t>CCT 2024/2025 - Cláusula 68ª - Cálculo: 19,77/12</t>
  </si>
  <si>
    <t>CCT 2024/2025 - Cláusula 14ª</t>
  </si>
  <si>
    <t>CCT 2024/2025 - Cláusula 22ª</t>
  </si>
  <si>
    <t>CCT 2024/2025 - Cláusula 17ª</t>
  </si>
  <si>
    <t>CCT 2024/2025 - Cláusula 18ª e CadTerc Vol. 7 - 2024</t>
  </si>
  <si>
    <t>CadTerc Vol.7 - 2024</t>
  </si>
  <si>
    <t>Calculado na tabela "Encargos Sociais"</t>
  </si>
  <si>
    <t>Calculado na tabela "Dados da Empresa - VT, ISS E Resultado do BDI"</t>
  </si>
  <si>
    <t>Lucro real - Incidência cumulativa de PIS e COFINS</t>
  </si>
  <si>
    <t>CadTerc Vol. 7 - 2024</t>
  </si>
  <si>
    <t>CadTerc vol. 7 - 2024</t>
  </si>
  <si>
    <t>Lei nº 8.212/91, nº 10.666/2009, Res. MPS/CNPS nº 1.308/2009</t>
  </si>
  <si>
    <t>Ano</t>
  </si>
  <si>
    <t>Quantidade Meses</t>
  </si>
  <si>
    <t>Valor Mensal</t>
  </si>
  <si>
    <t>Valor Anual</t>
  </si>
  <si>
    <t>Alíquota - ISS</t>
  </si>
  <si>
    <t>Sindicato da Categoria</t>
  </si>
  <si>
    <t>Data-base</t>
  </si>
  <si>
    <t>SEAC- SIEMACO</t>
  </si>
  <si>
    <t>1º de janeiro</t>
  </si>
  <si>
    <t>Faturamento nos 12 meses anteriores (se optante SIMPLES)</t>
  </si>
  <si>
    <t>Não</t>
  </si>
  <si>
    <t>Auxiliar de limpeza 44h - com adicional de insalubridade (20%)</t>
  </si>
  <si>
    <t>Fonte: CadTerc Vol. 7. - 2024</t>
  </si>
  <si>
    <t>1) Os valores e a metodologia do cálculo foram extraídos dos Estudos Técnicos de Serviços Terceirizados do Governo do Estado de São Paulo (CADTERC) - Volume 7 - Limpeza Hospitalar. Data-base: janeiro/2024 - Versão 1: Março/2024</t>
  </si>
  <si>
    <t>2) Convenção Coletiva de Trabalho (CCT) firmada entre o  Sindicato das Empresas de Asseio e Conservação no Estado de São Paulo (SEAC) e o Sindicato dos Trabalhadores em Empresas de Prestação de Serviços de Asseio e Conservação e Limpeza Urbana de São Paulo (SIEMACO). Vigência de 1º de janeiro de 2024 a 31 de dezembro de 2025 e a data-base da categoria em 1º de janeiro. Número de Registro no MTE SP001369/2024.</t>
  </si>
  <si>
    <t>3) Vale transporte - Fonte: decretos municipais pertinentes. Pesquisa realizada em 30/09/2024.</t>
  </si>
  <si>
    <t>4) Alíquota - ISS - Fonte: códigos tributários municipais e outras legislações pertinentes. Pesquisa realizada em: 30/09/2024. Serviço considerado: Lei Complementar nº 116 - Item 7.10 – Limpeza, manutenção e conservação de vias e logradouros públicos, imóveis, chaminés, piscinas, parques, jardins e congêneres.</t>
  </si>
  <si>
    <r>
      <t xml:space="preserve">• Preencher apenas as células destacadas em </t>
    </r>
    <r>
      <rPr>
        <b/>
        <sz val="10"/>
        <color rgb="FF0070C0"/>
        <rFont val="Calibri"/>
        <family val="2"/>
        <scheme val="minor"/>
      </rPr>
      <t xml:space="preserve">azul;
</t>
    </r>
    <r>
      <rPr>
        <b/>
        <sz val="10"/>
        <color theme="1"/>
        <rFont val="Calibri"/>
        <family val="2"/>
        <scheme val="minor"/>
      </rPr>
      <t>• Arredondar valores para a segunda casa decimal;
• Não inserir valores menores do que os estabelecidos na Convenção Coletiva da categoria.</t>
    </r>
  </si>
  <si>
    <t>Adicional de insalubridade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</si>
</sst>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&quot;\ #,##0.00;\-&quot;R$&quot;\ #,##0.00;\-"/>
    <numFmt numFmtId="166" formatCode="0;;\-"/>
    <numFmt numFmtId="167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30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left" vertical="center" wrapText="1" indent="2"/>
    </xf>
    <xf numFmtId="0" fontId="7" fillId="5" borderId="27" xfId="0" applyFont="1" applyFill="1" applyBorder="1" applyAlignment="1">
      <alignment horizontal="left" vertical="center" wrapText="1" indent="4"/>
    </xf>
    <xf numFmtId="0" fontId="7" fillId="5" borderId="27" xfId="0" applyFont="1" applyFill="1" applyBorder="1" applyAlignment="1">
      <alignment horizontal="left" vertical="center" wrapText="1" indent="6"/>
    </xf>
    <xf numFmtId="0" fontId="3" fillId="5" borderId="27" xfId="0" applyFont="1" applyFill="1" applyBorder="1" applyAlignment="1">
      <alignment horizontal="left" vertical="center" indent="4"/>
    </xf>
    <xf numFmtId="9" fontId="7" fillId="5" borderId="27" xfId="1" applyFont="1" applyFill="1" applyBorder="1" applyAlignment="1" applyProtection="1">
      <alignment horizontal="left" vertical="center" wrapText="1" indent="4"/>
    </xf>
    <xf numFmtId="164" fontId="3" fillId="5" borderId="33" xfId="1" applyNumberFormat="1" applyFont="1" applyFill="1" applyBorder="1" applyAlignment="1" applyProtection="1">
      <alignment horizontal="right" vertical="center"/>
    </xf>
    <xf numFmtId="0" fontId="0" fillId="5" borderId="0" xfId="0" applyFill="1"/>
    <xf numFmtId="0" fontId="3" fillId="5" borderId="0" xfId="0" applyFont="1" applyFill="1" applyAlignment="1">
      <alignment horizontal="center" vertical="center"/>
    </xf>
    <xf numFmtId="0" fontId="7" fillId="0" borderId="27" xfId="0" applyFont="1" applyBorder="1" applyAlignment="1">
      <alignment horizontal="left" vertical="center" wrapText="1" indent="4"/>
    </xf>
    <xf numFmtId="0" fontId="3" fillId="0" borderId="18" xfId="0" applyFont="1" applyBorder="1" applyAlignment="1">
      <alignment horizontal="left" vertical="center"/>
    </xf>
    <xf numFmtId="8" fontId="0" fillId="5" borderId="0" xfId="0" applyNumberFormat="1" applyFill="1"/>
    <xf numFmtId="0" fontId="4" fillId="2" borderId="4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0" fontId="5" fillId="6" borderId="14" xfId="0" applyNumberFormat="1" applyFont="1" applyFill="1" applyBorder="1" applyAlignment="1">
      <alignment horizontal="center" vertical="center" wrapText="1"/>
    </xf>
    <xf numFmtId="10" fontId="5" fillId="6" borderId="12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10" fontId="6" fillId="0" borderId="21" xfId="1" applyNumberFormat="1" applyFont="1" applyFill="1" applyBorder="1" applyAlignment="1" applyProtection="1">
      <alignment horizontal="center" vertical="center"/>
    </xf>
    <xf numFmtId="164" fontId="4" fillId="5" borderId="7" xfId="2" applyNumberFormat="1" applyFont="1" applyFill="1" applyBorder="1" applyAlignment="1" applyProtection="1">
      <alignment horizontal="right" vertical="center"/>
    </xf>
    <xf numFmtId="0" fontId="6" fillId="5" borderId="13" xfId="0" applyFont="1" applyFill="1" applyBorder="1" applyAlignment="1">
      <alignment vertical="center"/>
    </xf>
    <xf numFmtId="167" fontId="5" fillId="6" borderId="39" xfId="0" applyNumberFormat="1" applyFont="1" applyFill="1" applyBorder="1" applyAlignment="1">
      <alignment horizontal="center" vertical="center" wrapText="1"/>
    </xf>
    <xf numFmtId="167" fontId="5" fillId="6" borderId="9" xfId="0" applyNumberFormat="1" applyFont="1" applyFill="1" applyBorder="1" applyAlignment="1">
      <alignment horizontal="center" vertical="center" wrapText="1"/>
    </xf>
    <xf numFmtId="167" fontId="5" fillId="0" borderId="23" xfId="0" applyNumberFormat="1" applyFont="1" applyBorder="1" applyAlignment="1">
      <alignment horizontal="center" vertical="center" wrapText="1"/>
    </xf>
    <xf numFmtId="165" fontId="0" fillId="5" borderId="0" xfId="0" applyNumberFormat="1" applyFill="1"/>
    <xf numFmtId="7" fontId="0" fillId="5" borderId="0" xfId="0" applyNumberFormat="1" applyFill="1"/>
    <xf numFmtId="0" fontId="5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67" fontId="6" fillId="5" borderId="9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/>
    <xf numFmtId="0" fontId="3" fillId="5" borderId="10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8" fontId="3" fillId="5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8" fontId="3" fillId="5" borderId="0" xfId="0" applyNumberFormat="1" applyFont="1" applyFill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8" fontId="3" fillId="5" borderId="0" xfId="0" applyNumberFormat="1" applyFont="1" applyFill="1" applyAlignment="1">
      <alignment horizontal="center" vertical="center"/>
    </xf>
    <xf numFmtId="0" fontId="3" fillId="5" borderId="31" xfId="0" applyFont="1" applyFill="1" applyBorder="1" applyAlignment="1">
      <alignment vertical="center"/>
    </xf>
    <xf numFmtId="0" fontId="3" fillId="5" borderId="27" xfId="0" applyFont="1" applyFill="1" applyBorder="1" applyAlignment="1">
      <alignment vertical="center"/>
    </xf>
    <xf numFmtId="0" fontId="3" fillId="5" borderId="0" xfId="0" applyFont="1" applyFill="1"/>
    <xf numFmtId="0" fontId="4" fillId="2" borderId="1" xfId="0" applyFont="1" applyFill="1" applyBorder="1" applyAlignment="1">
      <alignment horizontal="left" vertical="center"/>
    </xf>
    <xf numFmtId="8" fontId="3" fillId="5" borderId="0" xfId="0" applyNumberFormat="1" applyFont="1" applyFill="1"/>
    <xf numFmtId="0" fontId="4" fillId="2" borderId="27" xfId="0" applyFont="1" applyFill="1" applyBorder="1"/>
    <xf numFmtId="0" fontId="4" fillId="5" borderId="27" xfId="0" applyFont="1" applyFill="1" applyBorder="1" applyAlignment="1">
      <alignment horizontal="left" indent="2"/>
    </xf>
    <xf numFmtId="0" fontId="3" fillId="5" borderId="27" xfId="0" applyFont="1" applyFill="1" applyBorder="1" applyAlignment="1">
      <alignment horizontal="left" indent="4"/>
    </xf>
    <xf numFmtId="0" fontId="3" fillId="5" borderId="27" xfId="0" applyFont="1" applyFill="1" applyBorder="1" applyAlignment="1">
      <alignment horizontal="left" indent="2"/>
    </xf>
    <xf numFmtId="0" fontId="4" fillId="2" borderId="27" xfId="0" applyFont="1" applyFill="1" applyBorder="1" applyAlignment="1">
      <alignment horizontal="left"/>
    </xf>
    <xf numFmtId="167" fontId="3" fillId="5" borderId="0" xfId="1" applyNumberFormat="1" applyFont="1" applyFill="1" applyProtection="1"/>
    <xf numFmtId="0" fontId="3" fillId="0" borderId="27" xfId="0" applyFont="1" applyBorder="1" applyAlignment="1">
      <alignment horizontal="left" indent="2"/>
    </xf>
    <xf numFmtId="0" fontId="3" fillId="5" borderId="32" xfId="0" applyFont="1" applyFill="1" applyBorder="1" applyAlignment="1">
      <alignment horizontal="left" indent="4"/>
    </xf>
    <xf numFmtId="0" fontId="4" fillId="5" borderId="28" xfId="0" applyFont="1" applyFill="1" applyBorder="1"/>
    <xf numFmtId="0" fontId="4" fillId="2" borderId="8" xfId="0" applyFont="1" applyFill="1" applyBorder="1" applyAlignment="1">
      <alignment horizontal="left"/>
    </xf>
    <xf numFmtId="10" fontId="6" fillId="0" borderId="1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indent="2"/>
    </xf>
    <xf numFmtId="0" fontId="4" fillId="5" borderId="54" xfId="0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8" fontId="7" fillId="5" borderId="31" xfId="2" applyNumberFormat="1" applyFont="1" applyFill="1" applyBorder="1" applyAlignment="1" applyProtection="1">
      <alignment horizontal="right" vertical="center"/>
    </xf>
    <xf numFmtId="8" fontId="4" fillId="2" borderId="6" xfId="2" applyNumberFormat="1" applyFont="1" applyFill="1" applyBorder="1" applyAlignment="1" applyProtection="1">
      <alignment horizontal="right" vertical="center"/>
    </xf>
    <xf numFmtId="8" fontId="4" fillId="2" borderId="31" xfId="2" applyNumberFormat="1" applyFont="1" applyFill="1" applyBorder="1" applyAlignment="1" applyProtection="1">
      <alignment horizontal="right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0" fontId="6" fillId="0" borderId="4" xfId="0" applyNumberFormat="1" applyFont="1" applyBorder="1" applyAlignment="1">
      <alignment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4" fontId="4" fillId="5" borderId="14" xfId="2" applyNumberFormat="1" applyFont="1" applyFill="1" applyBorder="1" applyAlignment="1" applyProtection="1">
      <alignment horizontal="center" vertical="center"/>
    </xf>
    <xf numFmtId="3" fontId="4" fillId="5" borderId="23" xfId="2" applyNumberFormat="1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5" borderId="4" xfId="0" quotePrefix="1" applyFont="1" applyFill="1" applyBorder="1" applyAlignment="1">
      <alignment vertical="center"/>
    </xf>
    <xf numFmtId="0" fontId="3" fillId="8" borderId="55" xfId="0" applyFont="1" applyFill="1" applyBorder="1" applyAlignment="1">
      <alignment vertical="center"/>
    </xf>
    <xf numFmtId="0" fontId="3" fillId="5" borderId="26" xfId="0" applyFont="1" applyFill="1" applyBorder="1" applyAlignment="1">
      <alignment vertical="center"/>
    </xf>
    <xf numFmtId="0" fontId="3" fillId="8" borderId="26" xfId="0" applyFont="1" applyFill="1" applyBorder="1" applyAlignment="1">
      <alignment vertical="center"/>
    </xf>
    <xf numFmtId="0" fontId="3" fillId="5" borderId="51" xfId="0" applyFont="1" applyFill="1" applyBorder="1" applyAlignment="1">
      <alignment vertical="center"/>
    </xf>
    <xf numFmtId="8" fontId="4" fillId="5" borderId="31" xfId="2" applyNumberFormat="1" applyFont="1" applyFill="1" applyBorder="1" applyAlignment="1" applyProtection="1">
      <alignment horizontal="right" vertical="center"/>
    </xf>
    <xf numFmtId="8" fontId="3" fillId="5" borderId="31" xfId="0" applyNumberFormat="1" applyFont="1" applyFill="1" applyBorder="1" applyAlignment="1">
      <alignment horizontal="right"/>
    </xf>
    <xf numFmtId="8" fontId="3" fillId="5" borderId="31" xfId="2" applyNumberFormat="1" applyFont="1" applyFill="1" applyBorder="1" applyAlignment="1" applyProtection="1">
      <alignment horizontal="right" vertical="center"/>
    </xf>
    <xf numFmtId="8" fontId="3" fillId="0" borderId="31" xfId="2" applyNumberFormat="1" applyFont="1" applyFill="1" applyBorder="1" applyAlignment="1" applyProtection="1">
      <alignment horizontal="right" vertical="center"/>
    </xf>
    <xf numFmtId="8" fontId="4" fillId="0" borderId="31" xfId="0" applyNumberFormat="1" applyFont="1" applyBorder="1" applyAlignment="1" applyProtection="1">
      <alignment horizontal="right" vertical="center"/>
      <protection locked="0"/>
    </xf>
    <xf numFmtId="8" fontId="3" fillId="5" borderId="31" xfId="0" applyNumberFormat="1" applyFont="1" applyFill="1" applyBorder="1" applyAlignment="1">
      <alignment horizontal="right" vertical="center"/>
    </xf>
    <xf numFmtId="164" fontId="3" fillId="5" borderId="31" xfId="2" applyNumberFormat="1" applyFont="1" applyFill="1" applyBorder="1" applyAlignment="1" applyProtection="1">
      <alignment horizontal="right" vertical="center"/>
    </xf>
    <xf numFmtId="8" fontId="4" fillId="5" borderId="31" xfId="0" applyNumberFormat="1" applyFont="1" applyFill="1" applyBorder="1" applyAlignment="1">
      <alignment horizontal="right" vertical="center"/>
    </xf>
    <xf numFmtId="164" fontId="7" fillId="5" borderId="31" xfId="1" applyNumberFormat="1" applyFont="1" applyFill="1" applyBorder="1" applyAlignment="1" applyProtection="1">
      <alignment horizontal="right" vertical="center"/>
    </xf>
    <xf numFmtId="164" fontId="4" fillId="2" borderId="31" xfId="2" applyNumberFormat="1" applyFont="1" applyFill="1" applyBorder="1" applyAlignment="1" applyProtection="1">
      <alignment horizontal="right" vertical="center"/>
    </xf>
    <xf numFmtId="10" fontId="3" fillId="5" borderId="31" xfId="1" applyNumberFormat="1" applyFont="1" applyFill="1" applyBorder="1" applyAlignment="1" applyProtection="1">
      <alignment horizontal="right" vertical="center"/>
    </xf>
    <xf numFmtId="164" fontId="3" fillId="5" borderId="31" xfId="1" applyNumberFormat="1" applyFont="1" applyFill="1" applyBorder="1" applyAlignment="1" applyProtection="1">
      <alignment horizontal="right" vertical="center"/>
    </xf>
    <xf numFmtId="164" fontId="4" fillId="5" borderId="3" xfId="2" applyNumberFormat="1" applyFont="1" applyFill="1" applyBorder="1" applyAlignment="1" applyProtection="1">
      <alignment horizontal="right" vertical="center"/>
    </xf>
    <xf numFmtId="10" fontId="6" fillId="0" borderId="14" xfId="0" applyNumberFormat="1" applyFont="1" applyBorder="1" applyAlignment="1">
      <alignment horizontal="center" vertical="center"/>
    </xf>
    <xf numFmtId="167" fontId="6" fillId="0" borderId="9" xfId="0" applyNumberFormat="1" applyFont="1" applyBorder="1" applyAlignment="1">
      <alignment horizontal="center" vertical="center"/>
    </xf>
    <xf numFmtId="167" fontId="6" fillId="0" borderId="41" xfId="0" applyNumberFormat="1" applyFont="1" applyBorder="1" applyAlignment="1">
      <alignment horizontal="center" vertical="center"/>
    </xf>
    <xf numFmtId="0" fontId="2" fillId="2" borderId="8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3" fillId="0" borderId="34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5" borderId="53" xfId="0" applyNumberFormat="1" applyFont="1" applyFill="1" applyBorder="1" applyAlignment="1">
      <alignment horizontal="center" vertical="center"/>
    </xf>
    <xf numFmtId="165" fontId="3" fillId="5" borderId="22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10" fontId="4" fillId="0" borderId="23" xfId="1" applyNumberFormat="1" applyFont="1" applyBorder="1" applyAlignment="1">
      <alignment horizontal="center" vertical="center"/>
    </xf>
    <xf numFmtId="0" fontId="3" fillId="5" borderId="11" xfId="3" applyNumberFormat="1" applyFont="1" applyFill="1" applyBorder="1" applyAlignment="1">
      <alignment horizontal="center" vertical="center"/>
    </xf>
    <xf numFmtId="10" fontId="4" fillId="5" borderId="12" xfId="1" applyNumberFormat="1" applyFont="1" applyFill="1" applyBorder="1" applyAlignment="1">
      <alignment horizontal="center" vertical="center"/>
    </xf>
    <xf numFmtId="0" fontId="3" fillId="5" borderId="9" xfId="3" applyNumberFormat="1" applyFont="1" applyFill="1" applyBorder="1" applyAlignment="1">
      <alignment horizontal="center" vertical="center"/>
    </xf>
    <xf numFmtId="10" fontId="4" fillId="5" borderId="14" xfId="1" applyNumberFormat="1" applyFont="1" applyFill="1" applyBorder="1" applyAlignment="1">
      <alignment horizontal="center" vertical="center"/>
    </xf>
    <xf numFmtId="0" fontId="3" fillId="5" borderId="16" xfId="3" applyNumberFormat="1" applyFont="1" applyFill="1" applyBorder="1" applyAlignment="1">
      <alignment horizontal="center" vertical="center"/>
    </xf>
    <xf numFmtId="10" fontId="4" fillId="5" borderId="17" xfId="1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31" xfId="0" applyFont="1" applyBorder="1" applyAlignment="1">
      <alignment vertical="center"/>
    </xf>
    <xf numFmtId="0" fontId="3" fillId="5" borderId="28" xfId="0" applyFont="1" applyFill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4" fillId="5" borderId="52" xfId="0" applyFont="1" applyFill="1" applyBorder="1" applyAlignment="1">
      <alignment horizontal="center" vertical="center"/>
    </xf>
    <xf numFmtId="0" fontId="3" fillId="5" borderId="53" xfId="3" applyNumberFormat="1" applyFont="1" applyFill="1" applyBorder="1" applyAlignment="1">
      <alignment horizontal="center" vertical="center"/>
    </xf>
    <xf numFmtId="10" fontId="4" fillId="5" borderId="58" xfId="1" applyNumberFormat="1" applyFont="1" applyFill="1" applyBorder="1" applyAlignment="1">
      <alignment horizontal="center" vertical="center"/>
    </xf>
    <xf numFmtId="165" fontId="4" fillId="0" borderId="40" xfId="0" applyNumberFormat="1" applyFont="1" applyBorder="1" applyAlignment="1">
      <alignment horizontal="center" vertical="center"/>
    </xf>
    <xf numFmtId="165" fontId="4" fillId="0" borderId="42" xfId="0" applyNumberFormat="1" applyFont="1" applyBorder="1" applyAlignment="1">
      <alignment horizontal="center" vertical="center"/>
    </xf>
    <xf numFmtId="0" fontId="4" fillId="7" borderId="20" xfId="0" applyFont="1" applyFill="1" applyBorder="1" applyAlignment="1">
      <alignment horizontal="left" vertical="center"/>
    </xf>
    <xf numFmtId="0" fontId="3" fillId="7" borderId="40" xfId="0" applyFont="1" applyFill="1" applyBorder="1" applyAlignment="1">
      <alignment horizontal="left" vertical="center"/>
    </xf>
    <xf numFmtId="0" fontId="3" fillId="7" borderId="40" xfId="0" applyFont="1" applyFill="1" applyBorder="1" applyAlignment="1">
      <alignment horizontal="center" vertical="center"/>
    </xf>
    <xf numFmtId="166" fontId="3" fillId="7" borderId="40" xfId="0" applyNumberFormat="1" applyFont="1" applyFill="1" applyBorder="1" applyAlignment="1">
      <alignment horizontal="center" vertical="center"/>
    </xf>
    <xf numFmtId="165" fontId="3" fillId="7" borderId="40" xfId="0" applyNumberFormat="1" applyFont="1" applyFill="1" applyBorder="1" applyAlignment="1">
      <alignment horizontal="center" vertical="center"/>
    </xf>
    <xf numFmtId="165" fontId="3" fillId="7" borderId="20" xfId="0" applyNumberFormat="1" applyFont="1" applyFill="1" applyBorder="1" applyAlignment="1">
      <alignment horizontal="center" vertical="center"/>
    </xf>
    <xf numFmtId="165" fontId="3" fillId="7" borderId="21" xfId="0" applyNumberFormat="1" applyFont="1" applyFill="1" applyBorder="1" applyAlignment="1">
      <alignment horizontal="center" vertical="center"/>
    </xf>
    <xf numFmtId="10" fontId="6" fillId="4" borderId="11" xfId="1" applyNumberFormat="1" applyFont="1" applyFill="1" applyBorder="1" applyAlignment="1" applyProtection="1">
      <alignment horizontal="center" vertical="center"/>
    </xf>
    <xf numFmtId="10" fontId="6" fillId="4" borderId="16" xfId="1" applyNumberFormat="1" applyFont="1" applyFill="1" applyBorder="1" applyAlignment="1" applyProtection="1">
      <alignment horizontal="center" vertical="center"/>
    </xf>
    <xf numFmtId="10" fontId="6" fillId="4" borderId="40" xfId="1" applyNumberFormat="1" applyFont="1" applyFill="1" applyBorder="1" applyAlignment="1" applyProtection="1">
      <alignment horizontal="center" vertical="center"/>
    </xf>
    <xf numFmtId="10" fontId="6" fillId="4" borderId="39" xfId="1" applyNumberFormat="1" applyFont="1" applyFill="1" applyBorder="1" applyAlignment="1" applyProtection="1">
      <alignment horizontal="center" vertical="center"/>
    </xf>
    <xf numFmtId="8" fontId="3" fillId="4" borderId="39" xfId="2" applyNumberFormat="1" applyFont="1" applyFill="1" applyBorder="1" applyAlignment="1" applyProtection="1">
      <alignment horizontal="center" vertical="center"/>
    </xf>
    <xf numFmtId="8" fontId="3" fillId="4" borderId="31" xfId="2" applyNumberFormat="1" applyFont="1" applyFill="1" applyBorder="1" applyAlignment="1" applyProtection="1">
      <alignment horizontal="right" vertical="center"/>
    </xf>
    <xf numFmtId="8" fontId="3" fillId="4" borderId="31" xfId="0" applyNumberFormat="1" applyFont="1" applyFill="1" applyBorder="1" applyAlignment="1">
      <alignment horizontal="right" vertical="center"/>
    </xf>
    <xf numFmtId="8" fontId="3" fillId="3" borderId="31" xfId="2" applyNumberFormat="1" applyFont="1" applyFill="1" applyBorder="1" applyAlignment="1" applyProtection="1">
      <alignment horizontal="right" vertical="center"/>
    </xf>
    <xf numFmtId="8" fontId="4" fillId="4" borderId="31" xfId="2" applyNumberFormat="1" applyFont="1" applyFill="1" applyBorder="1" applyAlignment="1" applyProtection="1">
      <alignment horizontal="right" vertical="center"/>
    </xf>
    <xf numFmtId="167" fontId="6" fillId="4" borderId="9" xfId="0" applyNumberFormat="1" applyFont="1" applyFill="1" applyBorder="1" applyAlignment="1">
      <alignment horizontal="center" vertical="center"/>
    </xf>
    <xf numFmtId="8" fontId="11" fillId="5" borderId="31" xfId="2" applyNumberFormat="1" applyFont="1" applyFill="1" applyBorder="1" applyAlignment="1" applyProtection="1">
      <alignment horizontal="right" vertical="center"/>
    </xf>
    <xf numFmtId="8" fontId="11" fillId="4" borderId="31" xfId="2" applyNumberFormat="1" applyFont="1" applyFill="1" applyBorder="1" applyAlignment="1" applyProtection="1">
      <alignment horizontal="right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8" fontId="3" fillId="4" borderId="16" xfId="2" applyNumberFormat="1" applyFont="1" applyFill="1" applyBorder="1" applyAlignment="1" applyProtection="1">
      <alignment horizontal="center" vertical="center"/>
    </xf>
    <xf numFmtId="8" fontId="3" fillId="4" borderId="17" xfId="2" applyNumberFormat="1" applyFont="1" applyFill="1" applyBorder="1" applyAlignment="1" applyProtection="1">
      <alignment horizontal="center" vertical="center"/>
    </xf>
    <xf numFmtId="10" fontId="3" fillId="5" borderId="43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10" fontId="3" fillId="5" borderId="26" xfId="0" applyNumberFormat="1" applyFont="1" applyFill="1" applyBorder="1" applyAlignment="1">
      <alignment horizontal="center" vertical="center"/>
    </xf>
    <xf numFmtId="2" fontId="3" fillId="4" borderId="43" xfId="1" applyNumberFormat="1" applyFont="1" applyFill="1" applyBorder="1" applyAlignment="1" applyProtection="1">
      <alignment horizontal="center" vertical="center"/>
    </xf>
    <xf numFmtId="2" fontId="3" fillId="4" borderId="44" xfId="1" applyNumberFormat="1" applyFont="1" applyFill="1" applyBorder="1" applyAlignment="1" applyProtection="1">
      <alignment horizontal="center" vertical="center"/>
    </xf>
    <xf numFmtId="2" fontId="3" fillId="4" borderId="26" xfId="1" applyNumberFormat="1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8" fontId="3" fillId="4" borderId="43" xfId="2" applyNumberFormat="1" applyFont="1" applyFill="1" applyBorder="1" applyAlignment="1" applyProtection="1">
      <alignment horizontal="center" vertical="center"/>
    </xf>
    <xf numFmtId="8" fontId="3" fillId="4" borderId="44" xfId="2" applyNumberFormat="1" applyFont="1" applyFill="1" applyBorder="1" applyAlignment="1" applyProtection="1">
      <alignment horizontal="center" vertical="center"/>
    </xf>
    <xf numFmtId="8" fontId="3" fillId="4" borderId="26" xfId="2" applyNumberFormat="1" applyFont="1" applyFill="1" applyBorder="1" applyAlignment="1" applyProtection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0" fontId="6" fillId="0" borderId="12" xfId="1" applyNumberFormat="1" applyFont="1" applyFill="1" applyBorder="1" applyAlignment="1" applyProtection="1">
      <alignment horizontal="center" vertical="center"/>
    </xf>
    <xf numFmtId="10" fontId="6" fillId="0" borderId="17" xfId="1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0" fontId="6" fillId="0" borderId="19" xfId="1" applyNumberFormat="1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10" fontId="3" fillId="4" borderId="57" xfId="0" applyNumberFormat="1" applyFont="1" applyFill="1" applyBorder="1" applyAlignment="1">
      <alignment horizontal="center" vertical="center"/>
    </xf>
    <xf numFmtId="10" fontId="3" fillId="4" borderId="42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2"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9BC2E6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19048</xdr:colOff>
      <xdr:row>37</xdr:row>
      <xdr:rowOff>119062</xdr:rowOff>
    </xdr:from>
    <xdr:ext cx="3467101" cy="4048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589FAF4-5984-4E92-A002-7AB1B822F96F}"/>
                </a:ext>
              </a:extLst>
            </xdr:cNvPr>
            <xdr:cNvSpPr txBox="1"/>
          </xdr:nvSpPr>
          <xdr:spPr>
            <a:xfrm>
              <a:off x="161923" y="105965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𝐵𝐷𝐼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𝑑𝑒𝑠𝑝𝑒𝑠𝑎𝑠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𝑖𝑛𝑑𝑖𝑟𝑒𝑡𝑎𝑠</m:t>
                            </m:r>
                          </m:e>
                        </m:d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.(1+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𝑙𝑢𝑐𝑟𝑜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𝑏𝑟𝑢𝑡𝑜</m:t>
                        </m:r>
                        <m:r>
                          <a:rPr lang="pt-BR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𝑃𝐼𝑆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𝐶𝑂𝐹𝐼𝑁𝑆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−%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𝐼𝑆𝑆</m:t>
                        </m:r>
                      </m:den>
                    </m:f>
                    <m:r>
                      <a:rPr lang="pt-BR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589FAF4-5984-4E92-A002-7AB1B822F96F}"/>
                </a:ext>
              </a:extLst>
            </xdr:cNvPr>
            <xdr:cNvSpPr txBox="1"/>
          </xdr:nvSpPr>
          <xdr:spPr>
            <a:xfrm>
              <a:off x="161923" y="10596562"/>
              <a:ext cx="3467101" cy="4048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𝐵𝐷𝐼=(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(1+𝑑𝑒𝑠𝑝𝑒𝑠𝑎𝑠 𝑖𝑛𝑑𝑖𝑟𝑒𝑡𝑎𝑠)  .(1+𝑙𝑢𝑐𝑟𝑜 𝑏𝑟𝑢𝑡𝑜)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pt-BR" sz="1100" b="0" i="0">
                  <a:latin typeface="Cambria Math" panose="02040503050406030204" pitchFamily="18" charset="0"/>
                </a:rPr>
                <a:t>1−%𝑃𝐼𝑆−%𝐶𝑂𝐹𝐼𝑁𝑆−%𝐼𝑆𝑆)−1</a:t>
              </a:r>
              <a:endParaRPr lang="en-US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e/Desktop/2.%20Levantamento%20de%20&#225;reas_v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. de cálc. brises e ACM"/>
      <sheetName val="Inputs - Prod. e Valores"/>
      <sheetName val="Resultados"/>
      <sheetName val="Pisos"/>
      <sheetName val="Pisos - Consolidado c. Serv."/>
      <sheetName val="Vidros"/>
      <sheetName val="Levantamento vidros-Suzana"/>
      <sheetName val="Brises"/>
      <sheetName val="ACM"/>
      <sheetName val="Postos - TR"/>
      <sheetName val="Elem. de fachada + Jard. - TR"/>
      <sheetName val="Áreas Int. e Ext. - Consolidado"/>
      <sheetName val="Elem. de fachada - Consolidado"/>
      <sheetName val="Jardins - Consolidado"/>
      <sheetName val="Planilha de Preços"/>
      <sheetName val="Dados URs"/>
      <sheetName val="Anexo X - Old"/>
      <sheetName val="Anexo A"/>
      <sheetName val="Editais anteriores"/>
      <sheetName val="Comparação"/>
      <sheetName val="Unif. e EPIs - AL e LV - TR"/>
      <sheetName val="Unif. e EPIs - AL. AC. - TR"/>
      <sheetName val="Unif. e EPIs - Jard. - TR"/>
      <sheetName val="Unif. e EPIs - AL e LV"/>
      <sheetName val="Unif. e EPIs - AL. AC."/>
      <sheetName val="Produtividade"/>
      <sheetName val="Valor unitário mensal"/>
      <sheetName val="Funcionários e custos"/>
      <sheetName val="Verificação TJSP"/>
      <sheetName val="UR-1 Pisos - Antigo"/>
      <sheetName val="Planilhas editais anteriores"/>
      <sheetName val="Mem. Calc. Custo Vidros Trim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I15" t="str">
            <v>Foto_UR_2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1"/>
  <sheetViews>
    <sheetView tabSelected="1" workbookViewId="0"/>
  </sheetViews>
  <sheetFormatPr defaultRowHeight="15" customHeight="1" x14ac:dyDescent="0.25"/>
  <cols>
    <col min="1" max="1" width="2.140625" style="36" customWidth="1"/>
    <col min="2" max="2" width="48.42578125" style="36" bestFit="1" customWidth="1"/>
    <col min="3" max="3" width="19" style="36" bestFit="1" customWidth="1"/>
    <col min="4" max="5" width="16.7109375" style="36" customWidth="1"/>
    <col min="6" max="6" width="22.7109375" style="36" customWidth="1"/>
    <col min="7" max="7" width="22.5703125" style="36" customWidth="1"/>
    <col min="8" max="8" width="5.7109375" style="36" bestFit="1" customWidth="1"/>
    <col min="9" max="9" width="19.42578125" style="36" bestFit="1" customWidth="1"/>
    <col min="10" max="10" width="23.140625" style="37" bestFit="1" customWidth="1"/>
    <col min="11" max="11" width="13.5703125" style="36" bestFit="1" customWidth="1"/>
    <col min="12" max="12" width="9.85546875" style="36" bestFit="1" customWidth="1"/>
    <col min="13" max="13" width="10.5703125" style="36" bestFit="1" customWidth="1"/>
    <col min="14" max="14" width="7.7109375" style="36" bestFit="1" customWidth="1"/>
    <col min="15" max="16384" width="9.140625" style="36"/>
  </cols>
  <sheetData>
    <row r="1" spans="2:16" ht="15" customHeight="1" thickBot="1" x14ac:dyDescent="0.3">
      <c r="B1" s="138"/>
      <c r="C1" s="138"/>
    </row>
    <row r="2" spans="2:16" ht="15" customHeight="1" thickBot="1" x14ac:dyDescent="0.3">
      <c r="B2" s="167" t="s">
        <v>118</v>
      </c>
      <c r="C2" s="168"/>
      <c r="D2" s="168"/>
      <c r="E2" s="168"/>
      <c r="F2" s="169"/>
    </row>
    <row r="3" spans="2:16" ht="30" customHeight="1" thickBot="1" x14ac:dyDescent="0.3">
      <c r="B3" s="170" t="s">
        <v>124</v>
      </c>
      <c r="C3" s="171"/>
      <c r="D3" s="171"/>
      <c r="E3" s="171"/>
      <c r="F3" s="172"/>
    </row>
    <row r="4" spans="2:16" ht="15" customHeight="1" thickBot="1" x14ac:dyDescent="0.25">
      <c r="B4" s="38"/>
      <c r="H4" s="37"/>
    </row>
    <row r="5" spans="2:16" ht="15" customHeight="1" thickBot="1" x14ac:dyDescent="0.3">
      <c r="B5" s="188" t="s">
        <v>80</v>
      </c>
      <c r="C5" s="189"/>
      <c r="D5" s="189"/>
      <c r="E5" s="189"/>
      <c r="F5" s="190"/>
    </row>
    <row r="6" spans="2:16" ht="15" customHeight="1" x14ac:dyDescent="0.25">
      <c r="B6" s="39" t="s">
        <v>63</v>
      </c>
      <c r="C6" s="191"/>
      <c r="D6" s="191"/>
      <c r="E6" s="191"/>
      <c r="F6" s="192"/>
    </row>
    <row r="7" spans="2:16" ht="15" customHeight="1" x14ac:dyDescent="0.25">
      <c r="B7" s="40" t="s">
        <v>62</v>
      </c>
      <c r="C7" s="181"/>
      <c r="D7" s="181"/>
      <c r="E7" s="181"/>
      <c r="F7" s="182"/>
      <c r="P7" s="41"/>
    </row>
    <row r="8" spans="2:16" ht="15" customHeight="1" x14ac:dyDescent="0.25">
      <c r="B8" s="40" t="s">
        <v>64</v>
      </c>
      <c r="C8" s="181"/>
      <c r="D8" s="181"/>
      <c r="E8" s="181"/>
      <c r="F8" s="182"/>
      <c r="P8" s="41"/>
    </row>
    <row r="9" spans="2:16" ht="15" customHeight="1" x14ac:dyDescent="0.25">
      <c r="B9" s="40" t="s">
        <v>65</v>
      </c>
      <c r="C9" s="181"/>
      <c r="D9" s="181"/>
      <c r="E9" s="181"/>
      <c r="F9" s="182"/>
      <c r="P9" s="41"/>
    </row>
    <row r="10" spans="2:16" ht="15" customHeight="1" x14ac:dyDescent="0.25">
      <c r="B10" s="40" t="s">
        <v>66</v>
      </c>
      <c r="C10" s="181"/>
      <c r="D10" s="181"/>
      <c r="E10" s="181"/>
      <c r="F10" s="182"/>
    </row>
    <row r="11" spans="2:16" ht="15" customHeight="1" x14ac:dyDescent="0.25">
      <c r="B11" s="40" t="s">
        <v>78</v>
      </c>
      <c r="C11" s="181"/>
      <c r="D11" s="181"/>
      <c r="E11" s="181"/>
      <c r="F11" s="182"/>
    </row>
    <row r="12" spans="2:16" ht="15" customHeight="1" x14ac:dyDescent="0.25">
      <c r="B12" s="18" t="s">
        <v>83</v>
      </c>
      <c r="C12" s="175">
        <v>0.03</v>
      </c>
      <c r="D12" s="176"/>
      <c r="E12" s="176"/>
      <c r="F12" s="177"/>
    </row>
    <row r="13" spans="2:16" ht="15" customHeight="1" x14ac:dyDescent="0.25">
      <c r="B13" s="18" t="s">
        <v>84</v>
      </c>
      <c r="C13" s="178">
        <v>2</v>
      </c>
      <c r="D13" s="179"/>
      <c r="E13" s="179"/>
      <c r="F13" s="180"/>
    </row>
    <row r="14" spans="2:16" ht="15" customHeight="1" x14ac:dyDescent="0.25">
      <c r="B14" s="18" t="s">
        <v>153</v>
      </c>
      <c r="C14" s="181" t="s">
        <v>155</v>
      </c>
      <c r="D14" s="181"/>
      <c r="E14" s="181"/>
      <c r="F14" s="182"/>
    </row>
    <row r="15" spans="2:16" ht="15" customHeight="1" x14ac:dyDescent="0.25">
      <c r="B15" s="18" t="s">
        <v>154</v>
      </c>
      <c r="C15" s="181" t="s">
        <v>156</v>
      </c>
      <c r="D15" s="181"/>
      <c r="E15" s="181"/>
      <c r="F15" s="182"/>
    </row>
    <row r="16" spans="2:16" ht="15" customHeight="1" x14ac:dyDescent="0.25">
      <c r="B16" s="40" t="s">
        <v>76</v>
      </c>
      <c r="C16" s="183" t="s">
        <v>144</v>
      </c>
      <c r="D16" s="183"/>
      <c r="E16" s="183"/>
      <c r="F16" s="184"/>
    </row>
    <row r="17" spans="2:16" ht="15" customHeight="1" x14ac:dyDescent="0.25">
      <c r="B17" s="42" t="s">
        <v>157</v>
      </c>
      <c r="C17" s="185"/>
      <c r="D17" s="186"/>
      <c r="E17" s="186"/>
      <c r="F17" s="187"/>
    </row>
    <row r="18" spans="2:16" ht="15" customHeight="1" x14ac:dyDescent="0.25">
      <c r="B18" s="43" t="s">
        <v>123</v>
      </c>
      <c r="C18" s="181"/>
      <c r="D18" s="181"/>
      <c r="E18" s="181"/>
      <c r="F18" s="182"/>
    </row>
    <row r="19" spans="2:16" ht="15" customHeight="1" thickBot="1" x14ac:dyDescent="0.3">
      <c r="B19" s="44" t="s">
        <v>97</v>
      </c>
      <c r="C19" s="173" t="s">
        <v>158</v>
      </c>
      <c r="D19" s="173"/>
      <c r="E19" s="173"/>
      <c r="F19" s="174"/>
    </row>
    <row r="20" spans="2:16" ht="15" customHeight="1" thickBot="1" x14ac:dyDescent="0.3"/>
    <row r="21" spans="2:16" ht="15" customHeight="1" thickBot="1" x14ac:dyDescent="0.3">
      <c r="B21" s="201" t="s">
        <v>95</v>
      </c>
      <c r="C21" s="202"/>
      <c r="D21" s="202"/>
      <c r="E21" s="202"/>
      <c r="F21" s="203"/>
    </row>
    <row r="22" spans="2:16" ht="15" customHeight="1" thickBot="1" x14ac:dyDescent="0.3">
      <c r="B22" s="15" t="s">
        <v>2</v>
      </c>
      <c r="C22" s="77" t="s">
        <v>14</v>
      </c>
      <c r="D22" s="33" t="s">
        <v>79</v>
      </c>
      <c r="E22" s="70" t="s">
        <v>1</v>
      </c>
      <c r="F22" s="71" t="s">
        <v>99</v>
      </c>
    </row>
    <row r="23" spans="2:16" ht="30" customHeight="1" x14ac:dyDescent="0.25">
      <c r="B23" s="193" t="s">
        <v>104</v>
      </c>
      <c r="C23" s="74" t="s">
        <v>15</v>
      </c>
      <c r="D23" s="155">
        <v>5.3100000000000001E-2</v>
      </c>
      <c r="E23" s="195">
        <f>SUM(D23:D24)</f>
        <v>5.8099999999999999E-2</v>
      </c>
      <c r="F23" s="45" t="s">
        <v>145</v>
      </c>
      <c r="J23" s="46"/>
    </row>
    <row r="24" spans="2:16" ht="30" customHeight="1" thickBot="1" x14ac:dyDescent="0.3">
      <c r="B24" s="194"/>
      <c r="C24" s="75" t="s">
        <v>16</v>
      </c>
      <c r="D24" s="156">
        <v>5.0000000000000001E-3</v>
      </c>
      <c r="E24" s="196"/>
      <c r="F24" s="47" t="s">
        <v>145</v>
      </c>
    </row>
    <row r="25" spans="2:16" ht="30" customHeight="1" thickBot="1" x14ac:dyDescent="0.3">
      <c r="B25" s="24" t="s">
        <v>103</v>
      </c>
      <c r="C25" s="76" t="s">
        <v>17</v>
      </c>
      <c r="D25" s="157">
        <v>7.1999999999999995E-2</v>
      </c>
      <c r="E25" s="25">
        <f>D25</f>
        <v>7.1999999999999995E-2</v>
      </c>
      <c r="F25" s="48" t="s">
        <v>145</v>
      </c>
      <c r="I25" s="9"/>
      <c r="J25" s="9"/>
      <c r="K25" s="9"/>
    </row>
    <row r="26" spans="2:16" ht="30" customHeight="1" x14ac:dyDescent="0.25">
      <c r="B26" s="197" t="s">
        <v>105</v>
      </c>
      <c r="C26" s="74" t="s">
        <v>18</v>
      </c>
      <c r="D26" s="158">
        <v>1.6500000000000001E-2</v>
      </c>
      <c r="E26" s="200">
        <f>SUM(D26:D27)</f>
        <v>9.2499999999999999E-2</v>
      </c>
      <c r="F26" s="198" t="s">
        <v>100</v>
      </c>
      <c r="I26" s="9"/>
      <c r="J26" s="9"/>
      <c r="K26" s="9"/>
    </row>
    <row r="27" spans="2:16" ht="30" customHeight="1" thickBot="1" x14ac:dyDescent="0.3">
      <c r="B27" s="194"/>
      <c r="C27" s="75" t="s">
        <v>19</v>
      </c>
      <c r="D27" s="156">
        <v>7.5999999999999998E-2</v>
      </c>
      <c r="E27" s="196"/>
      <c r="F27" s="199"/>
      <c r="I27" s="9"/>
      <c r="J27" s="9"/>
      <c r="K27" s="9"/>
    </row>
    <row r="28" spans="2:16" ht="15" customHeight="1" thickBot="1" x14ac:dyDescent="0.3">
      <c r="I28" s="9"/>
      <c r="J28" s="9"/>
      <c r="K28" s="9"/>
      <c r="M28" s="41"/>
      <c r="P28" s="41"/>
    </row>
    <row r="29" spans="2:16" ht="15" customHeight="1" thickBot="1" x14ac:dyDescent="0.3">
      <c r="B29" s="210" t="s">
        <v>96</v>
      </c>
      <c r="C29" s="211"/>
      <c r="D29" s="211"/>
      <c r="E29" s="211"/>
      <c r="F29" s="212"/>
      <c r="I29" s="9"/>
      <c r="J29" s="9"/>
      <c r="K29" s="9"/>
      <c r="M29" s="41"/>
      <c r="P29" s="41"/>
    </row>
    <row r="30" spans="2:16" ht="15" customHeight="1" thickBot="1" x14ac:dyDescent="0.3">
      <c r="B30" s="34" t="s">
        <v>0</v>
      </c>
      <c r="C30" s="16" t="s">
        <v>5</v>
      </c>
      <c r="D30" s="213" t="s">
        <v>152</v>
      </c>
      <c r="E30" s="214"/>
      <c r="F30" s="49" t="s">
        <v>11</v>
      </c>
      <c r="I30" s="9"/>
      <c r="J30" s="9"/>
      <c r="K30" s="9"/>
      <c r="P30" s="41"/>
    </row>
    <row r="31" spans="2:16" ht="15" customHeight="1" thickBot="1" x14ac:dyDescent="0.3">
      <c r="B31" s="12" t="s">
        <v>127</v>
      </c>
      <c r="C31" s="159">
        <v>5.49</v>
      </c>
      <c r="D31" s="215">
        <v>0.02</v>
      </c>
      <c r="E31" s="216"/>
      <c r="F31" s="136">
        <f>(1+$E$23)*(1+$E$25)/(1-($D$26+$D$27+D31))-1</f>
        <v>0.27806557746478888</v>
      </c>
      <c r="I31" s="9"/>
      <c r="J31" s="9"/>
      <c r="K31" s="9"/>
      <c r="P31" s="41"/>
    </row>
    <row r="32" spans="2:16" ht="15" customHeight="1" x14ac:dyDescent="0.25">
      <c r="B32" s="207" t="s">
        <v>102</v>
      </c>
      <c r="C32" s="208"/>
      <c r="D32" s="208"/>
      <c r="E32" s="208"/>
      <c r="F32" s="209"/>
      <c r="I32" s="9"/>
      <c r="J32" s="9"/>
      <c r="K32" s="9"/>
    </row>
    <row r="33" spans="2:11" ht="45" customHeight="1" x14ac:dyDescent="0.25">
      <c r="B33" s="204" t="s">
        <v>161</v>
      </c>
      <c r="C33" s="205"/>
      <c r="D33" s="205"/>
      <c r="E33" s="205"/>
      <c r="F33" s="206"/>
      <c r="I33" s="9"/>
      <c r="J33" s="9"/>
      <c r="K33" s="9"/>
    </row>
    <row r="34" spans="2:11" ht="45" customHeight="1" x14ac:dyDescent="0.25">
      <c r="B34" s="204" t="s">
        <v>162</v>
      </c>
      <c r="C34" s="205"/>
      <c r="D34" s="205"/>
      <c r="E34" s="205"/>
      <c r="F34" s="206"/>
      <c r="I34" s="9"/>
      <c r="J34" s="9"/>
      <c r="K34" s="9"/>
    </row>
    <row r="35" spans="2:11" ht="45" customHeight="1" x14ac:dyDescent="0.25">
      <c r="B35" s="204" t="s">
        <v>163</v>
      </c>
      <c r="C35" s="205"/>
      <c r="D35" s="205"/>
      <c r="E35" s="205"/>
      <c r="F35" s="206"/>
      <c r="I35" s="9"/>
      <c r="J35" s="9"/>
      <c r="K35" s="9"/>
    </row>
    <row r="36" spans="2:11" ht="45" customHeight="1" x14ac:dyDescent="0.25">
      <c r="B36" s="204" t="s">
        <v>164</v>
      </c>
      <c r="C36" s="205"/>
      <c r="D36" s="205"/>
      <c r="E36" s="205"/>
      <c r="F36" s="206"/>
    </row>
    <row r="37" spans="2:11" ht="15" customHeight="1" x14ac:dyDescent="0.25">
      <c r="B37" s="137" t="s">
        <v>101</v>
      </c>
      <c r="C37" s="138"/>
      <c r="D37" s="138"/>
      <c r="E37" s="138"/>
      <c r="F37" s="139"/>
    </row>
    <row r="38" spans="2:11" ht="45" customHeight="1" x14ac:dyDescent="0.25">
      <c r="B38" s="52"/>
      <c r="F38" s="51"/>
    </row>
    <row r="39" spans="2:11" ht="15" customHeight="1" thickBot="1" x14ac:dyDescent="0.3">
      <c r="B39" s="140" t="s">
        <v>160</v>
      </c>
      <c r="C39" s="141"/>
      <c r="D39" s="141"/>
      <c r="E39" s="141"/>
      <c r="F39" s="142"/>
    </row>
    <row r="40" spans="2:11" ht="15" customHeight="1" x14ac:dyDescent="0.25">
      <c r="J40" s="36"/>
    </row>
    <row r="41" spans="2:11" ht="15" customHeight="1" x14ac:dyDescent="0.25">
      <c r="J41" s="36"/>
    </row>
    <row r="42" spans="2:11" ht="15" customHeight="1" x14ac:dyDescent="0.25">
      <c r="J42" s="36"/>
    </row>
    <row r="45" spans="2:11" ht="15" customHeight="1" x14ac:dyDescent="0.25">
      <c r="J45" s="36"/>
    </row>
    <row r="46" spans="2:11" ht="15" customHeight="1" x14ac:dyDescent="0.25">
      <c r="J46" s="36"/>
    </row>
    <row r="47" spans="2:11" ht="15" customHeight="1" x14ac:dyDescent="0.25">
      <c r="J47" s="36"/>
    </row>
    <row r="49" spans="5:10" ht="15" customHeight="1" x14ac:dyDescent="0.25">
      <c r="E49" s="37"/>
      <c r="J49" s="36"/>
    </row>
    <row r="50" spans="5:10" ht="15" customHeight="1" x14ac:dyDescent="0.25">
      <c r="E50" s="37"/>
      <c r="J50" s="36"/>
    </row>
    <row r="51" spans="5:10" ht="15" customHeight="1" x14ac:dyDescent="0.25">
      <c r="E51" s="37"/>
      <c r="J51" s="36"/>
    </row>
    <row r="52" spans="5:10" ht="15" customHeight="1" x14ac:dyDescent="0.25">
      <c r="J52" s="36"/>
    </row>
    <row r="54" spans="5:10" ht="15" customHeight="1" x14ac:dyDescent="0.25">
      <c r="J54" s="36"/>
    </row>
    <row r="55" spans="5:10" ht="15" customHeight="1" x14ac:dyDescent="0.25">
      <c r="J55" s="36"/>
    </row>
    <row r="56" spans="5:10" ht="15" customHeight="1" x14ac:dyDescent="0.25">
      <c r="J56" s="36"/>
    </row>
    <row r="57" spans="5:10" ht="15" customHeight="1" x14ac:dyDescent="0.25">
      <c r="J57" s="36"/>
    </row>
    <row r="58" spans="5:10" ht="15" customHeight="1" x14ac:dyDescent="0.25">
      <c r="J58" s="36"/>
    </row>
    <row r="59" spans="5:10" ht="15" customHeight="1" x14ac:dyDescent="0.25">
      <c r="J59" s="36"/>
    </row>
    <row r="60" spans="5:10" ht="15" customHeight="1" x14ac:dyDescent="0.25">
      <c r="J60" s="36"/>
    </row>
    <row r="68" spans="10:10" ht="15" customHeight="1" x14ac:dyDescent="0.25">
      <c r="J68" s="36"/>
    </row>
    <row r="71" spans="10:10" ht="15" customHeight="1" x14ac:dyDescent="0.25">
      <c r="J71" s="36"/>
    </row>
  </sheetData>
  <sheetProtection algorithmName="SHA-512" hashValue="tWQgXci/M0EYjSLpfDcl1/lG0mJ2g3wVYiL/PSfzfZQitRY2HZ0iIM/oPDIQG6fQWsFoKvmQob/1R38pi/o8KA==" saltValue="QlOd/cw5PcoIy03NvkTHUA==" spinCount="100000" sheet="1" objects="1" scenarios="1"/>
  <mergeCells count="31">
    <mergeCell ref="B33:F33"/>
    <mergeCell ref="B36:F36"/>
    <mergeCell ref="B32:F32"/>
    <mergeCell ref="B29:F29"/>
    <mergeCell ref="D30:E30"/>
    <mergeCell ref="D31:E31"/>
    <mergeCell ref="B34:F34"/>
    <mergeCell ref="B35:F35"/>
    <mergeCell ref="B23:B24"/>
    <mergeCell ref="E23:E24"/>
    <mergeCell ref="B26:B27"/>
    <mergeCell ref="C18:F18"/>
    <mergeCell ref="F26:F27"/>
    <mergeCell ref="E26:E27"/>
    <mergeCell ref="B21:F21"/>
    <mergeCell ref="B2:F2"/>
    <mergeCell ref="B3:F3"/>
    <mergeCell ref="C19:F19"/>
    <mergeCell ref="C12:F12"/>
    <mergeCell ref="C13:F13"/>
    <mergeCell ref="C10:F10"/>
    <mergeCell ref="C11:F11"/>
    <mergeCell ref="C16:F16"/>
    <mergeCell ref="C17:F17"/>
    <mergeCell ref="C14:F14"/>
    <mergeCell ref="C15:F15"/>
    <mergeCell ref="B5:F5"/>
    <mergeCell ref="C6:F6"/>
    <mergeCell ref="C7:F7"/>
    <mergeCell ref="C8:F8"/>
    <mergeCell ref="C9:F9"/>
  </mergeCells>
  <phoneticPr fontId="8" type="noConversion"/>
  <conditionalFormatting sqref="C17:C18">
    <cfRule type="expression" dxfId="1" priority="4">
      <formula>$C$16&lt;&gt;"Simples Nacional"</formula>
    </cfRule>
  </conditionalFormatting>
  <conditionalFormatting sqref="C19">
    <cfRule type="expression" dxfId="0" priority="3">
      <formula>$C$16&lt;&gt;"Lucro real - Incidência cumulativa de PIS e COFINS"</formula>
    </cfRule>
  </conditionalFormatting>
  <dataValidations count="5">
    <dataValidation type="list" allowBlank="1" showInputMessage="1" showErrorMessage="1" sqref="C16" xr:uid="{00000000-0002-0000-0000-000000000000}">
      <formula1>"Simples Nacional,Lucro presumido - Incidência cumulativa de PIS e COFINS,Lucro real - Incidência cumulativa de PIS e COFINS,"</formula1>
    </dataValidation>
    <dataValidation type="list" allowBlank="1" showInputMessage="1" showErrorMessage="1" sqref="C19:F19" xr:uid="{00000000-0002-0000-0000-000001000000}">
      <formula1>"Sim,Não"</formula1>
    </dataValidation>
    <dataValidation type="list" allowBlank="1" showInputMessage="1" showErrorMessage="1" sqref="C12:F12" xr:uid="{00000000-0002-0000-0000-000002000000}">
      <formula1>"3%"</formula1>
    </dataValidation>
    <dataValidation type="decimal" allowBlank="1" showInputMessage="1" showErrorMessage="1" sqref="C13:F13" xr:uid="{00000000-0002-0000-0000-000003000000}">
      <formula1>0.5</formula1>
      <formula2>2</formula2>
    </dataValidation>
    <dataValidation type="decimal" allowBlank="1" showInputMessage="1" showErrorMessage="1" sqref="C17:F17" xr:uid="{00000000-0002-0000-0000-000004000000}">
      <formula1>0.01</formula1>
      <formula2>4800000</formula2>
    </dataValidation>
  </dataValidations>
  <printOptions horizontalCentered="1" verticalCentered="1"/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G52"/>
  <sheetViews>
    <sheetView workbookViewId="0"/>
  </sheetViews>
  <sheetFormatPr defaultRowHeight="12.75" x14ac:dyDescent="0.2"/>
  <cols>
    <col min="1" max="1" width="2.85546875" style="53" customWidth="1"/>
    <col min="2" max="2" width="49.85546875" style="53" customWidth="1"/>
    <col min="3" max="3" width="29.85546875" style="53" customWidth="1"/>
    <col min="4" max="4" width="72.28515625" style="10" bestFit="1" customWidth="1"/>
    <col min="5" max="5" width="69.28515625" style="53" bestFit="1" customWidth="1"/>
    <col min="6" max="6" width="9.140625" style="53"/>
    <col min="7" max="7" width="35.28515625" style="53" customWidth="1"/>
    <col min="8" max="8" width="3.85546875" style="53" customWidth="1"/>
    <col min="9" max="9" width="43.140625" style="53" customWidth="1"/>
    <col min="10" max="10" width="9.140625" style="53"/>
    <col min="11" max="11" width="12" style="53" customWidth="1"/>
    <col min="12" max="16384" width="9.140625" style="53"/>
  </cols>
  <sheetData>
    <row r="1" spans="2:7" ht="15" customHeight="1" thickBot="1" x14ac:dyDescent="0.25"/>
    <row r="2" spans="2:7" ht="15.75" customHeight="1" thickBot="1" x14ac:dyDescent="0.3">
      <c r="B2" s="167" t="s">
        <v>118</v>
      </c>
      <c r="C2" s="169"/>
      <c r="D2" s="9"/>
    </row>
    <row r="3" spans="2:7" ht="60" customHeight="1" thickBot="1" x14ac:dyDescent="0.3">
      <c r="B3" s="170" t="s">
        <v>165</v>
      </c>
      <c r="C3" s="217"/>
      <c r="D3" s="9"/>
    </row>
    <row r="4" spans="2:7" ht="15" customHeight="1" thickBot="1" x14ac:dyDescent="0.25"/>
    <row r="5" spans="2:7" ht="13.5" thickBot="1" x14ac:dyDescent="0.25">
      <c r="B5" s="88" t="s">
        <v>128</v>
      </c>
      <c r="C5" s="84" t="s">
        <v>127</v>
      </c>
    </row>
    <row r="6" spans="2:7" ht="13.5" thickBot="1" x14ac:dyDescent="0.25">
      <c r="B6" s="89" t="s">
        <v>119</v>
      </c>
      <c r="C6" s="85">
        <v>20.68</v>
      </c>
      <c r="D6" s="83" t="s">
        <v>130</v>
      </c>
    </row>
    <row r="7" spans="2:7" ht="15.75" thickBot="1" x14ac:dyDescent="0.3">
      <c r="B7" s="87" t="s">
        <v>75</v>
      </c>
      <c r="C7" s="86">
        <v>60</v>
      </c>
      <c r="D7"/>
    </row>
    <row r="8" spans="2:7" ht="15.75" thickBot="1" x14ac:dyDescent="0.3">
      <c r="B8" s="37"/>
      <c r="C8" s="9"/>
    </row>
    <row r="9" spans="2:7" ht="15.75" customHeight="1" thickBot="1" x14ac:dyDescent="0.25">
      <c r="B9" s="37"/>
      <c r="C9" s="82" t="s">
        <v>81</v>
      </c>
    </row>
    <row r="10" spans="2:7" ht="26.25" thickBot="1" x14ac:dyDescent="0.3">
      <c r="B10" s="10"/>
      <c r="C10" s="81" t="s">
        <v>129</v>
      </c>
      <c r="D10" s="73" t="s">
        <v>116</v>
      </c>
      <c r="F10" s="9"/>
      <c r="G10" s="9"/>
    </row>
    <row r="11" spans="2:7" ht="15" customHeight="1" x14ac:dyDescent="0.25">
      <c r="B11" s="54" t="s">
        <v>106</v>
      </c>
      <c r="C11" s="79">
        <f>C13+C12</f>
        <v>1872.4</v>
      </c>
      <c r="D11" s="91"/>
      <c r="E11" s="55"/>
      <c r="F11" s="9"/>
      <c r="G11" s="9"/>
    </row>
    <row r="12" spans="2:7" ht="15" x14ac:dyDescent="0.25">
      <c r="B12" s="3" t="s">
        <v>56</v>
      </c>
      <c r="C12" s="160">
        <v>1590</v>
      </c>
      <c r="D12" s="92" t="s">
        <v>131</v>
      </c>
      <c r="F12" s="9"/>
      <c r="G12" s="9"/>
    </row>
    <row r="13" spans="2:7" ht="15" x14ac:dyDescent="0.25">
      <c r="B13" s="3" t="s">
        <v>166</v>
      </c>
      <c r="C13" s="78">
        <f>1412*20%</f>
        <v>282.40000000000003</v>
      </c>
      <c r="D13" s="92" t="s">
        <v>132</v>
      </c>
      <c r="F13" s="9"/>
      <c r="G13" s="9"/>
    </row>
    <row r="14" spans="2:7" ht="15" x14ac:dyDescent="0.25">
      <c r="B14" s="3"/>
      <c r="C14" s="78"/>
      <c r="D14" s="93"/>
      <c r="F14" s="9"/>
      <c r="G14" s="9"/>
    </row>
    <row r="15" spans="2:7" ht="15" x14ac:dyDescent="0.25">
      <c r="B15" s="56" t="s">
        <v>107</v>
      </c>
      <c r="C15" s="80">
        <f>C20+C16+C26+C29+C32+C35+C36</f>
        <v>730.88</v>
      </c>
      <c r="D15" s="93"/>
      <c r="F15" s="9"/>
      <c r="G15" s="9"/>
    </row>
    <row r="16" spans="2:7" ht="15" x14ac:dyDescent="0.25">
      <c r="B16" s="57" t="s">
        <v>5</v>
      </c>
      <c r="C16" s="95">
        <f>C17-C18+C19</f>
        <v>131.66999999999999</v>
      </c>
      <c r="D16" s="93"/>
      <c r="F16" s="9"/>
      <c r="G16" s="9"/>
    </row>
    <row r="17" spans="2:7" ht="15" x14ac:dyDescent="0.25">
      <c r="B17" s="58" t="s">
        <v>3</v>
      </c>
      <c r="C17" s="96">
        <f>ROUND(VLOOKUP($C$5,'Dados da empresa'!$B$30:$C$31,MATCH($B$16,'Dados da empresa'!$B$30:$C$30,0),FALSE)*$C$6*2,2)</f>
        <v>227.07</v>
      </c>
      <c r="D17" s="92" t="s">
        <v>133</v>
      </c>
      <c r="F17" s="9"/>
      <c r="G17" s="9"/>
    </row>
    <row r="18" spans="2:7" ht="15" x14ac:dyDescent="0.25">
      <c r="B18" s="58" t="s">
        <v>57</v>
      </c>
      <c r="C18" s="165">
        <f>ROUND(C12*0.06,2)</f>
        <v>95.4</v>
      </c>
      <c r="D18" s="92" t="s">
        <v>134</v>
      </c>
      <c r="F18" s="9"/>
      <c r="G18" s="9"/>
    </row>
    <row r="19" spans="2:7" ht="15" x14ac:dyDescent="0.25">
      <c r="B19" s="4" t="s">
        <v>52</v>
      </c>
      <c r="C19" s="97">
        <f>IF(AND('Dados da empresa'!$C$16="Lucro real - Incidência cumulativa de PIS e COFINS",'Dados da empresa'!C19="Sim"),-ROUND((C17+C18)*0.0925,2),0)</f>
        <v>0</v>
      </c>
      <c r="D19" s="93"/>
      <c r="F19" s="9"/>
      <c r="G19" s="9"/>
    </row>
    <row r="20" spans="2:7" ht="15" x14ac:dyDescent="0.25">
      <c r="B20" s="57" t="s">
        <v>4</v>
      </c>
      <c r="C20" s="95">
        <f>ROUND(C21*$C$6,2)+C24+C25</f>
        <v>383.2</v>
      </c>
      <c r="D20" s="93"/>
      <c r="F20" s="9"/>
      <c r="G20" s="9"/>
    </row>
    <row r="21" spans="2:7" ht="15" x14ac:dyDescent="0.25">
      <c r="B21" s="4" t="s">
        <v>58</v>
      </c>
      <c r="C21" s="97">
        <f>C22-C23</f>
        <v>18.45</v>
      </c>
      <c r="D21" s="93"/>
      <c r="F21" s="9"/>
      <c r="G21" s="9"/>
    </row>
    <row r="22" spans="2:7" ht="15" x14ac:dyDescent="0.25">
      <c r="B22" s="5" t="s">
        <v>13</v>
      </c>
      <c r="C22" s="160">
        <v>19.77</v>
      </c>
      <c r="D22" s="92" t="s">
        <v>135</v>
      </c>
      <c r="F22" s="9"/>
      <c r="G22" s="9"/>
    </row>
    <row r="23" spans="2:7" ht="15" x14ac:dyDescent="0.25">
      <c r="B23" s="5" t="s">
        <v>51</v>
      </c>
      <c r="C23" s="166">
        <v>1.32</v>
      </c>
      <c r="D23" s="92" t="s">
        <v>135</v>
      </c>
      <c r="F23" s="9"/>
      <c r="G23" s="9"/>
    </row>
    <row r="24" spans="2:7" ht="15" x14ac:dyDescent="0.25">
      <c r="B24" s="11" t="s">
        <v>59</v>
      </c>
      <c r="C24" s="98">
        <v>1.65</v>
      </c>
      <c r="D24" s="92" t="s">
        <v>136</v>
      </c>
      <c r="F24" s="9"/>
      <c r="G24" s="9"/>
    </row>
    <row r="25" spans="2:7" ht="15" x14ac:dyDescent="0.25">
      <c r="B25" s="4" t="s">
        <v>52</v>
      </c>
      <c r="C25" s="97">
        <f>IF(AND('Dados da empresa'!$C$16="Lucro real - Incidência cumulativa de PIS e COFINS",'Dados da empresa'!C19="Sim"),-ROUND((C22*$C$6+C23*$C$6+C24)*0.0925,2),0)</f>
        <v>0</v>
      </c>
      <c r="D25" s="93"/>
      <c r="F25" s="9"/>
      <c r="G25" s="9"/>
    </row>
    <row r="26" spans="2:7" ht="15" x14ac:dyDescent="0.25">
      <c r="B26" s="57" t="s">
        <v>7</v>
      </c>
      <c r="C26" s="95">
        <f>C27+C28</f>
        <v>137.79</v>
      </c>
      <c r="D26" s="93"/>
      <c r="F26" s="9"/>
      <c r="G26" s="9"/>
    </row>
    <row r="27" spans="2:7" ht="15" x14ac:dyDescent="0.25">
      <c r="B27" s="4" t="s">
        <v>12</v>
      </c>
      <c r="C27" s="160">
        <v>137.79</v>
      </c>
      <c r="D27" s="92" t="s">
        <v>137</v>
      </c>
      <c r="F27" s="9"/>
      <c r="G27" s="9"/>
    </row>
    <row r="28" spans="2:7" ht="15" x14ac:dyDescent="0.25">
      <c r="B28" s="4" t="s">
        <v>52</v>
      </c>
      <c r="C28" s="97">
        <f>IF(AND('Dados da empresa'!$C$16="Lucro real - Incidência cumulativa de PIS e COFINS",'Dados da empresa'!C19="Sim"),-ROUND(C27*0.0925,2),0)</f>
        <v>0</v>
      </c>
      <c r="D28" s="93"/>
      <c r="F28" s="9"/>
      <c r="G28" s="9"/>
    </row>
    <row r="29" spans="2:7" ht="15" x14ac:dyDescent="0.25">
      <c r="B29" s="72" t="s">
        <v>122</v>
      </c>
      <c r="C29" s="99">
        <f>C30+C31</f>
        <v>15.2</v>
      </c>
      <c r="D29" s="92" t="s">
        <v>138</v>
      </c>
      <c r="F29" s="9"/>
      <c r="G29" s="9"/>
    </row>
    <row r="30" spans="2:7" ht="15" x14ac:dyDescent="0.25">
      <c r="B30" s="4" t="s">
        <v>12</v>
      </c>
      <c r="C30" s="161">
        <v>15.2</v>
      </c>
      <c r="D30" s="92" t="s">
        <v>138</v>
      </c>
      <c r="F30" s="9"/>
      <c r="G30" s="9"/>
    </row>
    <row r="31" spans="2:7" ht="15" x14ac:dyDescent="0.25">
      <c r="B31" s="11" t="s">
        <v>52</v>
      </c>
      <c r="C31" s="100">
        <f>IF(AND('Dados da empresa'!$C$16="Lucro real - Incidência cumulativa de PIS e COFINS",'Dados da empresa'!$C$19="Sim"),-ROUND((C30)*0.0925,2),0)</f>
        <v>0</v>
      </c>
      <c r="D31" s="93"/>
      <c r="F31" s="9"/>
      <c r="G31" s="9"/>
    </row>
    <row r="32" spans="2:7" ht="15" x14ac:dyDescent="0.25">
      <c r="B32" s="57" t="s">
        <v>53</v>
      </c>
      <c r="C32" s="95">
        <f>C33+C34</f>
        <v>33.65</v>
      </c>
      <c r="D32" s="93"/>
      <c r="F32" s="9"/>
      <c r="G32" s="9"/>
    </row>
    <row r="33" spans="2:7" ht="15" x14ac:dyDescent="0.25">
      <c r="B33" s="4" t="s">
        <v>12</v>
      </c>
      <c r="C33" s="162">
        <v>33.65</v>
      </c>
      <c r="D33" s="92" t="s">
        <v>139</v>
      </c>
      <c r="F33" s="9"/>
      <c r="G33" s="9"/>
    </row>
    <row r="34" spans="2:7" ht="15" x14ac:dyDescent="0.25">
      <c r="B34" s="4" t="s">
        <v>52</v>
      </c>
      <c r="C34" s="97">
        <f>IF(AND('Dados da empresa'!$C$16="Lucro real - Incidência cumulativa de PIS e COFINS",'Dados da empresa'!C19="Sim"),-ROUND(C33*0.0925,2),0)</f>
        <v>0</v>
      </c>
      <c r="D34" s="93"/>
      <c r="F34" s="9"/>
      <c r="G34" s="9"/>
    </row>
    <row r="35" spans="2:7" ht="15" x14ac:dyDescent="0.25">
      <c r="B35" s="57" t="s">
        <v>6</v>
      </c>
      <c r="C35" s="163">
        <v>22.3</v>
      </c>
      <c r="D35" s="92" t="s">
        <v>140</v>
      </c>
      <c r="F35" s="9"/>
      <c r="G35" s="9"/>
    </row>
    <row r="36" spans="2:7" ht="15" x14ac:dyDescent="0.25">
      <c r="B36" s="57" t="s">
        <v>8</v>
      </c>
      <c r="C36" s="163">
        <v>7.07</v>
      </c>
      <c r="D36" s="92" t="s">
        <v>141</v>
      </c>
      <c r="F36" s="9"/>
      <c r="G36" s="9"/>
    </row>
    <row r="37" spans="2:7" ht="15" x14ac:dyDescent="0.25">
      <c r="B37" s="59"/>
      <c r="C37" s="101"/>
      <c r="D37" s="93"/>
      <c r="F37" s="9"/>
      <c r="G37" s="9"/>
    </row>
    <row r="38" spans="2:7" ht="15" x14ac:dyDescent="0.25">
      <c r="B38" s="60" t="s">
        <v>108</v>
      </c>
      <c r="C38" s="80">
        <f>C39+C42</f>
        <v>642.32999999999993</v>
      </c>
      <c r="D38" s="93"/>
      <c r="F38" s="9"/>
      <c r="G38" s="9"/>
    </row>
    <row r="39" spans="2:7" ht="15" x14ac:dyDescent="0.25">
      <c r="B39" s="57" t="s">
        <v>9</v>
      </c>
      <c r="C39" s="102">
        <f>C40+C41</f>
        <v>91.68</v>
      </c>
      <c r="D39" s="93"/>
      <c r="F39" s="9"/>
      <c r="G39" s="9"/>
    </row>
    <row r="40" spans="2:7" ht="15" x14ac:dyDescent="0.25">
      <c r="B40" s="6" t="s">
        <v>3</v>
      </c>
      <c r="C40" s="160">
        <v>91.68</v>
      </c>
      <c r="D40" s="92" t="s">
        <v>141</v>
      </c>
      <c r="F40" s="9"/>
      <c r="G40" s="9"/>
    </row>
    <row r="41" spans="2:7" ht="15" x14ac:dyDescent="0.25">
      <c r="B41" s="4" t="s">
        <v>52</v>
      </c>
      <c r="C41" s="97">
        <f>IF(AND('Dados da empresa'!$C$16="Lucro real - Incidência cumulativa de PIS e COFINS",'Dados da empresa'!C19="Sim"),-ROUND(C40*0.0925,2),0)</f>
        <v>0</v>
      </c>
      <c r="D41" s="93"/>
      <c r="F41" s="9"/>
      <c r="G41" s="9"/>
    </row>
    <row r="42" spans="2:7" ht="15" x14ac:dyDescent="0.25">
      <c r="B42" s="57" t="s">
        <v>10</v>
      </c>
      <c r="C42" s="163">
        <v>550.65</v>
      </c>
      <c r="D42" s="92" t="s">
        <v>141</v>
      </c>
      <c r="E42" s="55"/>
      <c r="F42" s="9"/>
      <c r="G42" s="9"/>
    </row>
    <row r="43" spans="2:7" ht="15" x14ac:dyDescent="0.25">
      <c r="B43" s="7"/>
      <c r="C43" s="103"/>
      <c r="D43" s="93"/>
      <c r="F43" s="9"/>
      <c r="G43" s="9"/>
    </row>
    <row r="44" spans="2:7" ht="15" x14ac:dyDescent="0.25">
      <c r="B44" s="60" t="s">
        <v>109</v>
      </c>
      <c r="C44" s="104">
        <f>ROUND('Dados de custos'!C11*C45,2)</f>
        <v>1511.2</v>
      </c>
      <c r="D44" s="93"/>
      <c r="F44" s="9"/>
      <c r="G44" s="9"/>
    </row>
    <row r="45" spans="2:7" ht="15" x14ac:dyDescent="0.25">
      <c r="B45" s="59" t="s">
        <v>112</v>
      </c>
      <c r="C45" s="105">
        <f>'Encargos sociais'!$C$40</f>
        <v>0.80709446000000007</v>
      </c>
      <c r="D45" s="92" t="s">
        <v>142</v>
      </c>
      <c r="E45" s="61"/>
      <c r="F45" s="9"/>
      <c r="G45" s="9"/>
    </row>
    <row r="46" spans="2:7" ht="15" x14ac:dyDescent="0.25">
      <c r="B46" s="58"/>
      <c r="C46" s="106"/>
      <c r="D46" s="93"/>
      <c r="F46" s="9"/>
      <c r="G46" s="9"/>
    </row>
    <row r="47" spans="2:7" ht="15" x14ac:dyDescent="0.25">
      <c r="B47" s="56" t="s">
        <v>110</v>
      </c>
      <c r="C47" s="104">
        <f>ROUND((C44+C38+C15+C11)*C48,2)</f>
        <v>1322.71</v>
      </c>
      <c r="D47" s="93"/>
      <c r="F47" s="9"/>
      <c r="G47" s="9"/>
    </row>
    <row r="48" spans="2:7" ht="15.75" thickBot="1" x14ac:dyDescent="0.3">
      <c r="B48" s="62" t="s">
        <v>111</v>
      </c>
      <c r="C48" s="105">
        <f>VLOOKUP($C$5,'Dados da empresa'!$B$30:$F$31,5,FALSE)</f>
        <v>0.27806557746478888</v>
      </c>
      <c r="D48" s="94" t="s">
        <v>143</v>
      </c>
      <c r="F48" s="9"/>
      <c r="G48" s="9"/>
    </row>
    <row r="49" spans="2:4" ht="15.75" thickBot="1" x14ac:dyDescent="0.3">
      <c r="B49" s="63"/>
      <c r="C49" s="8"/>
      <c r="D49"/>
    </row>
    <row r="50" spans="2:4" ht="16.5" thickTop="1" thickBot="1" x14ac:dyDescent="0.3">
      <c r="B50" s="64" t="s">
        <v>113</v>
      </c>
      <c r="C50" s="107">
        <f>C47+C44+C38+C15+C11</f>
        <v>6079.52</v>
      </c>
      <c r="D50"/>
    </row>
    <row r="51" spans="2:4" ht="15.75" thickBot="1" x14ac:dyDescent="0.3">
      <c r="B51" s="1"/>
      <c r="C51" s="2"/>
      <c r="D51"/>
    </row>
    <row r="52" spans="2:4" ht="13.5" thickBot="1" x14ac:dyDescent="0.25">
      <c r="B52" s="65" t="s">
        <v>115</v>
      </c>
      <c r="C52" s="26">
        <f>ROUND(C50/$C$6,2)</f>
        <v>293.98</v>
      </c>
      <c r="D52" s="90" t="s">
        <v>120</v>
      </c>
    </row>
  </sheetData>
  <sheetProtection algorithmName="SHA-512" hashValue="LpWqf8xaz0n6o5yQM8ClAB4QYGcKHn44o4ux2/bSyWdnjRxIMAwqplIS7R1+1o/e7Kb2ZPu1rGeL/Y2EnSk1UA==" saltValue="z/0Vh5JAVRKP2xfiE6P4Vg==" spinCount="100000" sheet="1" objects="1" scenarios="1"/>
  <mergeCells count="2">
    <mergeCell ref="B2:C2"/>
    <mergeCell ref="B3:C3"/>
  </mergeCells>
  <pageMargins left="0.7" right="0.7" top="0.75" bottom="0.75" header="0.3" footer="0.3"/>
  <pageSetup paperSize="9" scale="48" orientation="landscape" r:id="rId1"/>
  <ignoredErrors>
    <ignoredError sqref="C2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'Dados da empresa'!$B$31:$B$31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D40"/>
  <sheetViews>
    <sheetView workbookViewId="0"/>
  </sheetViews>
  <sheetFormatPr defaultRowHeight="15" x14ac:dyDescent="0.25"/>
  <cols>
    <col min="1" max="1" width="2.85546875" style="9" customWidth="1"/>
    <col min="2" max="2" width="69.28515625" style="9" bestFit="1" customWidth="1"/>
    <col min="3" max="3" width="9.28515625" style="9" customWidth="1"/>
    <col min="4" max="4" width="60.28515625" style="9" bestFit="1" customWidth="1"/>
    <col min="5" max="16384" width="9.140625" style="9"/>
  </cols>
  <sheetData>
    <row r="1" spans="2:4" ht="15.75" thickBot="1" x14ac:dyDescent="0.3"/>
    <row r="2" spans="2:4" ht="15.75" customHeight="1" thickBot="1" x14ac:dyDescent="0.3">
      <c r="B2" s="167" t="s">
        <v>118</v>
      </c>
      <c r="C2" s="169"/>
    </row>
    <row r="3" spans="2:4" ht="60" customHeight="1" thickBot="1" x14ac:dyDescent="0.3">
      <c r="B3" s="170" t="s">
        <v>125</v>
      </c>
      <c r="C3" s="217"/>
    </row>
    <row r="4" spans="2:4" ht="15.75" thickBot="1" x14ac:dyDescent="0.3"/>
    <row r="5" spans="2:4" ht="15.75" thickBot="1" x14ac:dyDescent="0.3">
      <c r="B5" s="201" t="s">
        <v>82</v>
      </c>
      <c r="C5" s="202"/>
      <c r="D5" s="203"/>
    </row>
    <row r="6" spans="2:4" x14ac:dyDescent="0.25">
      <c r="B6" s="19" t="s">
        <v>20</v>
      </c>
      <c r="C6" s="28">
        <f>SUM(C7:C13)+C14</f>
        <v>0.39800000000000008</v>
      </c>
      <c r="D6" s="23" t="s">
        <v>86</v>
      </c>
    </row>
    <row r="7" spans="2:4" x14ac:dyDescent="0.25">
      <c r="B7" s="18" t="s">
        <v>21</v>
      </c>
      <c r="C7" s="35">
        <v>0.2</v>
      </c>
      <c r="D7" s="108" t="s">
        <v>89</v>
      </c>
    </row>
    <row r="8" spans="2:4" x14ac:dyDescent="0.25">
      <c r="B8" s="27" t="s">
        <v>22</v>
      </c>
      <c r="C8" s="35">
        <f>IF('Dados da empresa'!$C$16="Simples Nacional",0,1.5%)</f>
        <v>1.4999999999999999E-2</v>
      </c>
      <c r="D8" s="108" t="s">
        <v>90</v>
      </c>
    </row>
    <row r="9" spans="2:4" x14ac:dyDescent="0.25">
      <c r="B9" s="27" t="s">
        <v>23</v>
      </c>
      <c r="C9" s="35">
        <f>IF('Dados da empresa'!$C$16="Simples Nacional",0,1%)</f>
        <v>0.01</v>
      </c>
      <c r="D9" s="108" t="s">
        <v>91</v>
      </c>
    </row>
    <row r="10" spans="2:4" x14ac:dyDescent="0.25">
      <c r="B10" s="27" t="s">
        <v>24</v>
      </c>
      <c r="C10" s="35">
        <f>IF('Dados da empresa'!$C$16="Simples Nacional",0,0.2%)</f>
        <v>2E-3</v>
      </c>
      <c r="D10" s="108" t="s">
        <v>92</v>
      </c>
    </row>
    <row r="11" spans="2:4" x14ac:dyDescent="0.25">
      <c r="B11" s="27" t="s">
        <v>25</v>
      </c>
      <c r="C11" s="35">
        <f>IF('Dados da empresa'!$C$16="Simples Nacional",0,0.6%)</f>
        <v>6.0000000000000001E-3</v>
      </c>
      <c r="D11" s="108" t="s">
        <v>93</v>
      </c>
    </row>
    <row r="12" spans="2:4" x14ac:dyDescent="0.25">
      <c r="B12" s="27" t="s">
        <v>88</v>
      </c>
      <c r="C12" s="35">
        <f>IF('Dados da empresa'!$C$16="Simples Nacional",0,2.5%)</f>
        <v>2.5000000000000001E-2</v>
      </c>
      <c r="D12" s="108" t="s">
        <v>94</v>
      </c>
    </row>
    <row r="13" spans="2:4" x14ac:dyDescent="0.25">
      <c r="B13" s="18" t="s">
        <v>26</v>
      </c>
      <c r="C13" s="35">
        <v>0.08</v>
      </c>
      <c r="D13" s="108" t="s">
        <v>90</v>
      </c>
    </row>
    <row r="14" spans="2:4" x14ac:dyDescent="0.25">
      <c r="B14" s="18" t="s">
        <v>77</v>
      </c>
      <c r="C14" s="35">
        <f>'Dados da empresa'!C12*'Dados da empresa'!C13</f>
        <v>0.06</v>
      </c>
      <c r="D14" s="108" t="s">
        <v>147</v>
      </c>
    </row>
    <row r="15" spans="2:4" x14ac:dyDescent="0.25">
      <c r="B15" s="17" t="s">
        <v>27</v>
      </c>
      <c r="C15" s="29">
        <f>SUM(C16:C21)</f>
        <v>0.11686999999999999</v>
      </c>
      <c r="D15" s="22"/>
    </row>
    <row r="16" spans="2:4" x14ac:dyDescent="0.25">
      <c r="B16" s="18" t="s">
        <v>28</v>
      </c>
      <c r="C16" s="109">
        <v>9.1560000000000002E-2</v>
      </c>
      <c r="D16" s="108" t="s">
        <v>146</v>
      </c>
    </row>
    <row r="17" spans="2:4" x14ac:dyDescent="0.25">
      <c r="B17" s="18" t="s">
        <v>29</v>
      </c>
      <c r="C17" s="164">
        <v>1.542E-2</v>
      </c>
      <c r="D17" s="108" t="s">
        <v>146</v>
      </c>
    </row>
    <row r="18" spans="2:4" x14ac:dyDescent="0.25">
      <c r="B18" s="18" t="s">
        <v>30</v>
      </c>
      <c r="C18" s="164">
        <v>9.1299999999999992E-3</v>
      </c>
      <c r="D18" s="108" t="s">
        <v>146</v>
      </c>
    </row>
    <row r="19" spans="2:4" x14ac:dyDescent="0.25">
      <c r="B19" s="27" t="s">
        <v>31</v>
      </c>
      <c r="C19" s="164">
        <v>2.9999999999999997E-4</v>
      </c>
      <c r="D19" s="108" t="s">
        <v>146</v>
      </c>
    </row>
    <row r="20" spans="2:4" x14ac:dyDescent="0.25">
      <c r="B20" s="18" t="s">
        <v>32</v>
      </c>
      <c r="C20" s="164">
        <v>3.4000000000000002E-4</v>
      </c>
      <c r="D20" s="108" t="s">
        <v>146</v>
      </c>
    </row>
    <row r="21" spans="2:4" x14ac:dyDescent="0.25">
      <c r="B21" s="18" t="s">
        <v>33</v>
      </c>
      <c r="C21" s="164">
        <v>1.2E-4</v>
      </c>
      <c r="D21" s="108" t="s">
        <v>146</v>
      </c>
    </row>
    <row r="22" spans="2:4" x14ac:dyDescent="0.25">
      <c r="B22" s="17" t="s">
        <v>34</v>
      </c>
      <c r="C22" s="29">
        <f>SUM(C23:C24)</f>
        <v>0.12440000000000001</v>
      </c>
      <c r="D22" s="22"/>
    </row>
    <row r="23" spans="2:4" x14ac:dyDescent="0.25">
      <c r="B23" s="18" t="s">
        <v>35</v>
      </c>
      <c r="C23" s="109">
        <v>3.0519999999999999E-2</v>
      </c>
      <c r="D23" s="108" t="s">
        <v>146</v>
      </c>
    </row>
    <row r="24" spans="2:4" x14ac:dyDescent="0.25">
      <c r="B24" s="18" t="s">
        <v>36</v>
      </c>
      <c r="C24" s="109">
        <v>9.3880000000000005E-2</v>
      </c>
      <c r="D24" s="108" t="s">
        <v>146</v>
      </c>
    </row>
    <row r="25" spans="2:4" x14ac:dyDescent="0.25">
      <c r="B25" s="17" t="s">
        <v>37</v>
      </c>
      <c r="C25" s="29">
        <f>SUM(C26:C30)</f>
        <v>6.0753999999999996E-2</v>
      </c>
      <c r="D25" s="22"/>
    </row>
    <row r="26" spans="2:4" x14ac:dyDescent="0.25">
      <c r="B26" s="18" t="s">
        <v>38</v>
      </c>
      <c r="C26" s="164">
        <v>4.4519999999999997E-2</v>
      </c>
      <c r="D26" s="108" t="s">
        <v>146</v>
      </c>
    </row>
    <row r="27" spans="2:4" x14ac:dyDescent="0.25">
      <c r="B27" s="18" t="s">
        <v>39</v>
      </c>
      <c r="C27" s="164">
        <v>3.5599999999999998E-3</v>
      </c>
      <c r="D27" s="108" t="s">
        <v>146</v>
      </c>
    </row>
    <row r="28" spans="2:4" x14ac:dyDescent="0.25">
      <c r="B28" s="18" t="s">
        <v>40</v>
      </c>
      <c r="C28" s="164">
        <v>1.1129999999999999E-2</v>
      </c>
      <c r="D28" s="108" t="s">
        <v>146</v>
      </c>
    </row>
    <row r="29" spans="2:4" x14ac:dyDescent="0.25">
      <c r="B29" s="18" t="s">
        <v>41</v>
      </c>
      <c r="C29" s="164">
        <v>1.5399999999999999E-3</v>
      </c>
      <c r="D29" s="108" t="s">
        <v>146</v>
      </c>
    </row>
    <row r="30" spans="2:4" x14ac:dyDescent="0.25">
      <c r="B30" s="18" t="s">
        <v>42</v>
      </c>
      <c r="C30" s="164">
        <v>3.9999999999999998E-6</v>
      </c>
      <c r="D30" s="108" t="s">
        <v>146</v>
      </c>
    </row>
    <row r="31" spans="2:4" x14ac:dyDescent="0.25">
      <c r="B31" s="17" t="s">
        <v>43</v>
      </c>
      <c r="C31" s="29">
        <f>SUM(C32:C36)</f>
        <v>1.1044999999999999E-2</v>
      </c>
      <c r="D31" s="22"/>
    </row>
    <row r="32" spans="2:4" x14ac:dyDescent="0.25">
      <c r="B32" s="27" t="s">
        <v>44</v>
      </c>
      <c r="C32" s="164">
        <v>7.6000000000000004E-4</v>
      </c>
      <c r="D32" s="108" t="s">
        <v>146</v>
      </c>
    </row>
    <row r="33" spans="2:4" x14ac:dyDescent="0.25">
      <c r="B33" s="18" t="s">
        <v>45</v>
      </c>
      <c r="C33" s="164">
        <v>1.5E-5</v>
      </c>
      <c r="D33" s="108" t="s">
        <v>146</v>
      </c>
    </row>
    <row r="34" spans="2:4" x14ac:dyDescent="0.25">
      <c r="B34" s="18" t="s">
        <v>46</v>
      </c>
      <c r="C34" s="164">
        <v>1.31E-3</v>
      </c>
      <c r="D34" s="108" t="s">
        <v>146</v>
      </c>
    </row>
    <row r="35" spans="2:4" x14ac:dyDescent="0.25">
      <c r="B35" s="18" t="s">
        <v>47</v>
      </c>
      <c r="C35" s="164">
        <v>8.6599999999999993E-3</v>
      </c>
      <c r="D35" s="108" t="s">
        <v>146</v>
      </c>
    </row>
    <row r="36" spans="2:4" x14ac:dyDescent="0.25">
      <c r="B36" s="18" t="s">
        <v>48</v>
      </c>
      <c r="C36" s="164">
        <v>2.9999999999999997E-4</v>
      </c>
      <c r="D36" s="108" t="s">
        <v>146</v>
      </c>
    </row>
    <row r="37" spans="2:4" x14ac:dyDescent="0.25">
      <c r="B37" s="17" t="s">
        <v>114</v>
      </c>
      <c r="C37" s="29">
        <f>SUM(C38:C39)</f>
        <v>9.6025460000000007E-2</v>
      </c>
      <c r="D37" s="22"/>
    </row>
    <row r="38" spans="2:4" x14ac:dyDescent="0.25">
      <c r="B38" s="18" t="s">
        <v>49</v>
      </c>
      <c r="C38" s="109">
        <f>C6*C15</f>
        <v>4.6514260000000002E-2</v>
      </c>
      <c r="D38" s="108" t="s">
        <v>146</v>
      </c>
    </row>
    <row r="39" spans="2:4" ht="15.75" thickBot="1" x14ac:dyDescent="0.3">
      <c r="B39" s="21" t="s">
        <v>50</v>
      </c>
      <c r="C39" s="110">
        <f>C6*C22</f>
        <v>4.9511200000000012E-2</v>
      </c>
      <c r="D39" s="108" t="s">
        <v>146</v>
      </c>
    </row>
    <row r="40" spans="2:4" ht="16.5" thickTop="1" thickBot="1" x14ac:dyDescent="0.3">
      <c r="B40" s="20" t="s">
        <v>87</v>
      </c>
      <c r="C40" s="30">
        <f>SUM(C37,C31,C25,C22,C15,C6)</f>
        <v>0.80709446000000007</v>
      </c>
      <c r="D40" s="66"/>
    </row>
  </sheetData>
  <sheetProtection algorithmName="SHA-512" hashValue="dRcjgtYc9RlcabfieSc5N7VqkhTgf55YfAZ68GzDpv98CXkgTV0TpTdHp5jvEZbKUdgpJfnBeyLZQXIHfkVSLg==" saltValue="iaYF79ODhDApeCpPE/tENg==" spinCount="100000" sheet="1" objects="1" scenarios="1"/>
  <mergeCells count="3">
    <mergeCell ref="B5:D5"/>
    <mergeCell ref="B2:C2"/>
    <mergeCell ref="B3:C3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B1:H17"/>
  <sheetViews>
    <sheetView workbookViewId="0"/>
  </sheetViews>
  <sheetFormatPr defaultRowHeight="15" x14ac:dyDescent="0.25"/>
  <cols>
    <col min="1" max="1" width="4" style="9" customWidth="1"/>
    <col min="2" max="2" width="2.85546875" style="9" customWidth="1"/>
    <col min="3" max="3" width="62.85546875" style="9" bestFit="1" customWidth="1"/>
    <col min="4" max="4" width="7.42578125" style="9" bestFit="1" customWidth="1"/>
    <col min="5" max="5" width="10.140625" style="9" bestFit="1" customWidth="1"/>
    <col min="6" max="7" width="12.28515625" style="9" bestFit="1" customWidth="1"/>
    <col min="8" max="8" width="13.85546875" style="9" bestFit="1" customWidth="1"/>
    <col min="9" max="16384" width="9.140625" style="9"/>
  </cols>
  <sheetData>
    <row r="1" spans="2:8" ht="15.75" thickBot="1" x14ac:dyDescent="0.3"/>
    <row r="2" spans="2:8" ht="15.75" thickBot="1" x14ac:dyDescent="0.3">
      <c r="C2" s="111" t="s">
        <v>117</v>
      </c>
      <c r="D2" s="112"/>
      <c r="E2" s="112"/>
      <c r="F2" s="112"/>
      <c r="G2" s="112"/>
      <c r="H2" s="113"/>
    </row>
    <row r="3" spans="2:8" ht="26.25" thickBot="1" x14ac:dyDescent="0.3">
      <c r="B3" s="10"/>
      <c r="C3" s="34" t="s">
        <v>2</v>
      </c>
      <c r="D3" s="16" t="s">
        <v>60</v>
      </c>
      <c r="E3" s="16" t="s">
        <v>67</v>
      </c>
      <c r="F3" s="14" t="s">
        <v>121</v>
      </c>
      <c r="G3" s="14" t="s">
        <v>73</v>
      </c>
      <c r="H3" s="68" t="s">
        <v>85</v>
      </c>
    </row>
    <row r="4" spans="2:8" ht="40.5" customHeight="1" thickBot="1" x14ac:dyDescent="0.3">
      <c r="B4" s="10"/>
      <c r="C4" s="114" t="s">
        <v>159</v>
      </c>
      <c r="D4" s="115" t="s">
        <v>68</v>
      </c>
      <c r="E4" s="115">
        <f>SUMIFS('Orçam. analítico'!$E$5:$E$5,'Orçam. analítico'!$C$5:$C$5,C4)</f>
        <v>2</v>
      </c>
      <c r="F4" s="115" t="s">
        <v>61</v>
      </c>
      <c r="G4" s="116">
        <f>SUMIFS('Orçam. analítico'!$G$5:$G$5,'Orçam. analítico'!$C$5:$C$5,C4)</f>
        <v>12159.04</v>
      </c>
      <c r="H4" s="117">
        <f>SUMIFS('Orçam. analítico'!$H$5:$H$5,'Orçam. analítico'!$C$5:$C$5,C4)</f>
        <v>729542.4</v>
      </c>
    </row>
    <row r="5" spans="2:8" x14ac:dyDescent="0.25">
      <c r="B5" s="10"/>
    </row>
    <row r="6" spans="2:8" x14ac:dyDescent="0.25">
      <c r="B6" s="10"/>
    </row>
    <row r="7" spans="2:8" x14ac:dyDescent="0.25">
      <c r="B7" s="10"/>
      <c r="C7" s="10"/>
      <c r="D7" s="10"/>
    </row>
    <row r="8" spans="2:8" x14ac:dyDescent="0.25">
      <c r="B8" s="10"/>
      <c r="C8" s="10"/>
      <c r="D8" s="10"/>
      <c r="G8" s="31"/>
    </row>
    <row r="9" spans="2:8" x14ac:dyDescent="0.25">
      <c r="B9" s="10"/>
      <c r="C9" s="10"/>
      <c r="D9" s="10"/>
      <c r="G9" s="32"/>
    </row>
    <row r="10" spans="2:8" x14ac:dyDescent="0.25">
      <c r="B10" s="10"/>
      <c r="C10" s="10"/>
      <c r="D10" s="10"/>
      <c r="E10" s="13"/>
      <c r="F10" s="13"/>
    </row>
    <row r="11" spans="2:8" x14ac:dyDescent="0.25">
      <c r="B11" s="10"/>
      <c r="C11" s="10"/>
      <c r="D11" s="10"/>
    </row>
    <row r="12" spans="2:8" x14ac:dyDescent="0.25">
      <c r="B12" s="10"/>
      <c r="C12" s="10"/>
      <c r="D12" s="10"/>
    </row>
    <row r="13" spans="2:8" x14ac:dyDescent="0.25">
      <c r="B13" s="10"/>
      <c r="C13" s="10"/>
      <c r="D13" s="10"/>
    </row>
    <row r="14" spans="2:8" x14ac:dyDescent="0.25">
      <c r="B14" s="10"/>
      <c r="C14" s="10"/>
      <c r="D14" s="10"/>
    </row>
    <row r="15" spans="2:8" x14ac:dyDescent="0.25">
      <c r="B15" s="10"/>
      <c r="C15" s="10"/>
      <c r="D15" s="10"/>
    </row>
    <row r="16" spans="2:8" x14ac:dyDescent="0.25">
      <c r="B16" s="10"/>
      <c r="C16" s="10"/>
      <c r="D16" s="10"/>
    </row>
    <row r="17" spans="2:4" x14ac:dyDescent="0.25">
      <c r="B17" s="10"/>
      <c r="C17" s="10"/>
      <c r="D17" s="10"/>
    </row>
  </sheetData>
  <sheetProtection algorithmName="SHA-512" hashValue="24aPOj/bVCkKTIJX/ASKJ33G5mt4Be/SZ3r7zMCC3uylJW6fBoneypuoISQAHU+E5LtZ1DaYbUuINKowd0asXA==" saltValue="ImnXHsdQ2j+RbcucYDIGUA==" spinCount="100000" sheet="1" objects="1" scenarios="1"/>
  <phoneticPr fontId="8" type="noConversion"/>
  <printOptions horizontalCentered="1" verticalCentered="1"/>
  <pageMargins left="0.70866141732283472" right="0.70866141732283472" top="0.74803149606299213" bottom="8.6614173228346463" header="0.31496062992125984" footer="0.31496062992125984"/>
  <pageSetup paperSize="11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R44"/>
  <sheetViews>
    <sheetView workbookViewId="0"/>
  </sheetViews>
  <sheetFormatPr defaultRowHeight="12.75" x14ac:dyDescent="0.25"/>
  <cols>
    <col min="1" max="1" width="2.85546875" style="10" customWidth="1"/>
    <col min="2" max="2" width="23.140625" style="10" bestFit="1" customWidth="1"/>
    <col min="3" max="3" width="62.85546875" style="37" bestFit="1" customWidth="1"/>
    <col min="4" max="4" width="7.42578125" style="10" bestFit="1" customWidth="1"/>
    <col min="5" max="5" width="12.28515625" style="10" bestFit="1" customWidth="1"/>
    <col min="6" max="8" width="13.85546875" style="10" bestFit="1" customWidth="1"/>
    <col min="9" max="9" width="13.28515625" style="10" bestFit="1" customWidth="1"/>
    <col min="10" max="12" width="11.140625" style="10" customWidth="1"/>
    <col min="13" max="13" width="14.5703125" style="10" bestFit="1" customWidth="1"/>
    <col min="14" max="14" width="11.140625" style="10" customWidth="1"/>
    <col min="15" max="15" width="12.28515625" style="10" bestFit="1" customWidth="1"/>
    <col min="16" max="16" width="23.140625" style="10" bestFit="1" customWidth="1"/>
    <col min="17" max="17" width="10.42578125" style="10" customWidth="1"/>
    <col min="18" max="18" width="11.28515625" style="10" bestFit="1" customWidth="1"/>
    <col min="19" max="16384" width="9.140625" style="10"/>
  </cols>
  <sheetData>
    <row r="1" spans="2:18" ht="13.5" thickBot="1" x14ac:dyDescent="0.3"/>
    <row r="2" spans="2:18" ht="15" customHeight="1" thickBot="1" x14ac:dyDescent="0.3">
      <c r="B2" s="222" t="s">
        <v>126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4"/>
    </row>
    <row r="3" spans="2:18" ht="15.75" customHeight="1" thickBot="1" x14ac:dyDescent="0.3">
      <c r="B3" s="220" t="s">
        <v>128</v>
      </c>
      <c r="C3" s="218" t="s">
        <v>2</v>
      </c>
      <c r="D3" s="218" t="s">
        <v>60</v>
      </c>
      <c r="E3" s="218" t="s">
        <v>67</v>
      </c>
      <c r="F3" s="218" t="s">
        <v>72</v>
      </c>
      <c r="G3" s="218" t="s">
        <v>73</v>
      </c>
      <c r="H3" s="228" t="s">
        <v>74</v>
      </c>
      <c r="I3" s="225" t="s">
        <v>71</v>
      </c>
      <c r="J3" s="226"/>
      <c r="K3" s="226"/>
      <c r="L3" s="226"/>
      <c r="M3" s="226"/>
      <c r="N3" s="227"/>
    </row>
    <row r="4" spans="2:18" s="69" customFormat="1" ht="30" customHeight="1" thickBot="1" x14ac:dyDescent="0.25">
      <c r="B4" s="221"/>
      <c r="C4" s="219"/>
      <c r="D4" s="219"/>
      <c r="E4" s="219"/>
      <c r="F4" s="219"/>
      <c r="G4" s="219"/>
      <c r="H4" s="229"/>
      <c r="I4" s="67" t="s">
        <v>54</v>
      </c>
      <c r="J4" s="14" t="s">
        <v>5</v>
      </c>
      <c r="K4" s="14" t="s">
        <v>69</v>
      </c>
      <c r="L4" s="14" t="s">
        <v>55</v>
      </c>
      <c r="M4" s="14" t="s">
        <v>70</v>
      </c>
      <c r="N4" s="68" t="s">
        <v>11</v>
      </c>
      <c r="R4" s="53"/>
    </row>
    <row r="5" spans="2:18" s="69" customFormat="1" ht="24" customHeight="1" thickBot="1" x14ac:dyDescent="0.25">
      <c r="B5" s="148" t="s">
        <v>127</v>
      </c>
      <c r="C5" s="149" t="s">
        <v>159</v>
      </c>
      <c r="D5" s="150" t="s">
        <v>68</v>
      </c>
      <c r="E5" s="151">
        <v>2</v>
      </c>
      <c r="F5" s="152">
        <f>'Dados de custos'!C50</f>
        <v>6079.52</v>
      </c>
      <c r="G5" s="152">
        <f t="shared" ref="G5" si="0">ROUND(E5*F5,2)</f>
        <v>12159.04</v>
      </c>
      <c r="H5" s="152">
        <f>G5*'Dados de custos'!$C$7</f>
        <v>729542.4</v>
      </c>
      <c r="I5" s="153">
        <f>'Dados de custos'!C11</f>
        <v>1872.4</v>
      </c>
      <c r="J5" s="152">
        <f>ROUND(VLOOKUP($B5,'Dados da empresa'!$B$30:$C$31,MATCH($J$4,'Dados da empresa'!$B$30:$C$30,0),FALSE)*'Dados de custos'!$C$6*2,2)+ROUND(-'Dados de custos'!$C$12*0.06,2)+IF(AND('Dados da empresa'!$C$16="Lucro real - Incidência cumulativa de PIS e COFINS",'Dados da empresa'!$C$19="Sim"),-ROUND((ROUND(VLOOKUP($B5,'Dados da empresa'!$B$30:$C$31,MATCH($J$4,'Dados da empresa'!$B$30:$C$30,0),FALSE)* 'Dados de custos'!$C$6*2,2)+ROUND(-'Dados de custos'!$C$12*0.06,2))*0.0925,2),0)</f>
        <v>131.66999999999999</v>
      </c>
      <c r="K5" s="152">
        <f>'Dados de custos'!$C$20+'Dados de custos'!$C$26+'Dados de custos'!$C$29+'Dados de custos'!$C$32+'Dados de custos'!$C$35+'Dados de custos'!$C$36</f>
        <v>599.21</v>
      </c>
      <c r="L5" s="152">
        <f>'Dados de custos'!$C$38</f>
        <v>642.32999999999993</v>
      </c>
      <c r="M5" s="152">
        <f>'Dados de custos'!$C$44</f>
        <v>1511.2</v>
      </c>
      <c r="N5" s="154">
        <f>ROUND(VLOOKUP($B5,'Dados da empresa'!$B$30:$F$31,MATCH($N$4,'Dados da empresa'!$B$30:$F$30,0),FALSE)*(M5+L5+K5+J5+I5),2)</f>
        <v>1322.71</v>
      </c>
      <c r="R5" s="53"/>
    </row>
    <row r="6" spans="2:18" x14ac:dyDescent="0.25">
      <c r="G6" s="50"/>
    </row>
    <row r="42" spans="6:6" ht="15.75" customHeight="1" x14ac:dyDescent="0.25"/>
    <row r="44" spans="6:6" x14ac:dyDescent="0.25">
      <c r="F44" s="50"/>
    </row>
  </sheetData>
  <sheetProtection algorithmName="SHA-512" hashValue="M0BDIDXi6ir6Ya4XQE29LpJGh9KF3+78b8HTIBD00dwXR8JqWe7vSyg6ov7/+E03XFKP1hFIxW67X8ZhiWpmBQ==" saltValue="r/3NI0w8M1mNLNuRbza7iQ==" spinCount="100000" sheet="1" objects="1" scenarios="1"/>
  <mergeCells count="9">
    <mergeCell ref="D3:D4"/>
    <mergeCell ref="C3:C4"/>
    <mergeCell ref="B3:B4"/>
    <mergeCell ref="B2:N2"/>
    <mergeCell ref="I3:N3"/>
    <mergeCell ref="H3:H4"/>
    <mergeCell ref="G3:G4"/>
    <mergeCell ref="F3:F4"/>
    <mergeCell ref="E3:E4"/>
  </mergeCells>
  <pageMargins left="0.25" right="0.25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B1:F15"/>
  <sheetViews>
    <sheetView workbookViewId="0"/>
  </sheetViews>
  <sheetFormatPr defaultRowHeight="15" x14ac:dyDescent="0.25"/>
  <cols>
    <col min="1" max="1" width="2.85546875" style="9" customWidth="1"/>
    <col min="2" max="6" width="14.85546875" style="9" customWidth="1"/>
    <col min="7" max="16384" width="9.140625" style="9"/>
  </cols>
  <sheetData>
    <row r="1" spans="2:6" ht="15.75" thickBot="1" x14ac:dyDescent="0.3"/>
    <row r="2" spans="2:6" ht="15.75" thickBot="1" x14ac:dyDescent="0.3">
      <c r="B2" s="222" t="s">
        <v>98</v>
      </c>
      <c r="C2" s="223"/>
      <c r="D2" s="223"/>
      <c r="E2" s="223"/>
      <c r="F2" s="224"/>
    </row>
    <row r="3" spans="2:6" ht="15" customHeight="1" thickBot="1" x14ac:dyDescent="0.3">
      <c r="B3" s="122" t="s">
        <v>148</v>
      </c>
      <c r="C3" s="123" t="s">
        <v>149</v>
      </c>
      <c r="D3" s="123" t="s">
        <v>150</v>
      </c>
      <c r="E3" s="124" t="s">
        <v>151</v>
      </c>
      <c r="F3" s="125"/>
    </row>
    <row r="4" spans="2:6" x14ac:dyDescent="0.25">
      <c r="B4" s="133">
        <v>2025</v>
      </c>
      <c r="C4" s="127">
        <v>10</v>
      </c>
      <c r="D4" s="119">
        <f>'Orçam. analítico'!$G$5</f>
        <v>12159.04</v>
      </c>
      <c r="E4" s="119">
        <f t="shared" ref="E4:E9" si="0">C4*D4</f>
        <v>121590.40000000001</v>
      </c>
      <c r="F4" s="128">
        <f>E4/$E$10</f>
        <v>0.16666666666666671</v>
      </c>
    </row>
    <row r="5" spans="2:6" x14ac:dyDescent="0.25">
      <c r="B5" s="134">
        <v>2026</v>
      </c>
      <c r="C5" s="129">
        <v>12</v>
      </c>
      <c r="D5" s="118">
        <f>'Orçam. analítico'!$G$5</f>
        <v>12159.04</v>
      </c>
      <c r="E5" s="118">
        <f t="shared" si="0"/>
        <v>145908.48000000001</v>
      </c>
      <c r="F5" s="130">
        <f t="shared" ref="F5:F9" si="1">E5/$E$10</f>
        <v>0.20000000000000004</v>
      </c>
    </row>
    <row r="6" spans="2:6" x14ac:dyDescent="0.25">
      <c r="B6" s="143">
        <v>2027</v>
      </c>
      <c r="C6" s="144">
        <v>12</v>
      </c>
      <c r="D6" s="118">
        <f>'Orçam. analítico'!$G$5</f>
        <v>12159.04</v>
      </c>
      <c r="E6" s="118">
        <f t="shared" si="0"/>
        <v>145908.48000000001</v>
      </c>
      <c r="F6" s="145">
        <f t="shared" si="1"/>
        <v>0.20000000000000004</v>
      </c>
    </row>
    <row r="7" spans="2:6" x14ac:dyDescent="0.25">
      <c r="B7" s="143">
        <v>2028</v>
      </c>
      <c r="C7" s="144">
        <v>12</v>
      </c>
      <c r="D7" s="118">
        <f>'Orçam. analítico'!$G$5</f>
        <v>12159.04</v>
      </c>
      <c r="E7" s="118">
        <f t="shared" si="0"/>
        <v>145908.48000000001</v>
      </c>
      <c r="F7" s="145">
        <f t="shared" si="1"/>
        <v>0.20000000000000004</v>
      </c>
    </row>
    <row r="8" spans="2:6" x14ac:dyDescent="0.25">
      <c r="B8" s="143">
        <v>2029</v>
      </c>
      <c r="C8" s="144">
        <v>12</v>
      </c>
      <c r="D8" s="118">
        <f>'Orçam. analítico'!$G$5</f>
        <v>12159.04</v>
      </c>
      <c r="E8" s="118">
        <f t="shared" si="0"/>
        <v>145908.48000000001</v>
      </c>
      <c r="F8" s="145">
        <f t="shared" si="1"/>
        <v>0.20000000000000004</v>
      </c>
    </row>
    <row r="9" spans="2:6" ht="15.75" thickBot="1" x14ac:dyDescent="0.3">
      <c r="B9" s="135">
        <v>2030</v>
      </c>
      <c r="C9" s="131">
        <v>2</v>
      </c>
      <c r="D9" s="118">
        <f>'Orçam. analítico'!$G$5</f>
        <v>12159.04</v>
      </c>
      <c r="E9" s="118">
        <f t="shared" si="0"/>
        <v>24318.080000000002</v>
      </c>
      <c r="F9" s="132">
        <f t="shared" si="1"/>
        <v>3.333333333333334E-2</v>
      </c>
    </row>
    <row r="10" spans="2:6" ht="15.75" thickBot="1" x14ac:dyDescent="0.3">
      <c r="B10" s="120" t="s">
        <v>1</v>
      </c>
      <c r="C10" s="121">
        <f>SUM(C4:C9)</f>
        <v>60</v>
      </c>
      <c r="D10" s="146">
        <f>'Orçam. analítico'!$G$5</f>
        <v>12159.04</v>
      </c>
      <c r="E10" s="147">
        <f>SUM(E4:E9)</f>
        <v>729542.39999999991</v>
      </c>
      <c r="F10" s="126">
        <f>SUM(F4:F9)</f>
        <v>1.0000000000000002</v>
      </c>
    </row>
    <row r="15" spans="2:6" x14ac:dyDescent="0.25">
      <c r="E15" s="32"/>
    </row>
  </sheetData>
  <sheetProtection algorithmName="SHA-512" hashValue="ok52ZndH83THZ9Bp5yBALTs7p05mAmlbqxuhPbIj3bYhE/mqJ67IhHvGB4sDQ8La6cJIQ7nH9wdQjCE8QmCc3Q==" saltValue="ttmoc/J8XkHS9W0YdFOzsg==" spinCount="100000" sheet="1" objects="1" scenarios="1"/>
  <mergeCells count="1"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 da empresa</vt:lpstr>
      <vt:lpstr>Dados de custos</vt:lpstr>
      <vt:lpstr>Encargos sociais</vt:lpstr>
      <vt:lpstr>Orçam. sintético</vt:lpstr>
      <vt:lpstr>Orçam. analítico</vt:lpstr>
      <vt:lpstr>Cronograma Físico-Financeiro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Masella</dc:creator>
  <cp:lastModifiedBy>Fernando Oliveira da Silva</cp:lastModifiedBy>
  <cp:lastPrinted>2024-10-04T14:16:56Z</cp:lastPrinted>
  <dcterms:created xsi:type="dcterms:W3CDTF">2020-05-08T18:08:10Z</dcterms:created>
  <dcterms:modified xsi:type="dcterms:W3CDTF">2024-10-09T14:37:49Z</dcterms:modified>
</cp:coreProperties>
</file>