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tcespgov-my.sharepoint.com/personal/jscosta_tce_sp_gov_br/Documents/DCP-3/TR GRÁFICA/"/>
    </mc:Choice>
  </mc:AlternateContent>
  <xr:revisionPtr revIDLastSave="2" documentId="8_{27CA19E6-164C-48ED-AA8B-E212BAABAAB8}" xr6:coauthVersionLast="47" xr6:coauthVersionMax="47" xr10:uidLastSave="{98BE1D9D-3CE7-4244-B967-8339782D678F}"/>
  <bookViews>
    <workbookView xWindow="-108" yWindow="-108" windowWidth="23256" windowHeight="12576" tabRatio="778" xr2:uid="{00000000-000D-0000-FFFF-FFFF00000000}"/>
  </bookViews>
  <sheets>
    <sheet name="Dados da Empresa" sheetId="81" r:id="rId1"/>
    <sheet name="Dados de Custos" sheetId="91" r:id="rId2"/>
    <sheet name="Encargos sociais" sheetId="88" r:id="rId3"/>
    <sheet name="Anexo D - Planilha de Preços" sheetId="92" r:id="rId4"/>
    <sheet name="Orçam. sintético" sheetId="83" r:id="rId5"/>
    <sheet name="Orçam. analítico" sheetId="82" r:id="rId6"/>
    <sheet name="Cronograma Físico-Financeiro" sheetId="89" r:id="rId7"/>
  </sheets>
  <externalReferences>
    <externalReference r:id="rId8"/>
  </externalReferences>
  <definedNames>
    <definedName name="_xlnm.Print_Area" localSheetId="0">'Dados da Empresa'!$A$1:$F$31</definedName>
    <definedName name="_xlnm.Print_Area" localSheetId="4">'Orçam. sintético'!$A$1:$I$9</definedName>
    <definedName name="Foto">INDIRECT('[1]Anexo A'!$I$15)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88" l="1"/>
  <c r="C37" i="91"/>
  <c r="C29" i="91"/>
  <c r="C27" i="91" s="1"/>
  <c r="C26" i="91"/>
  <c r="C21" i="91"/>
  <c r="C19" i="91"/>
  <c r="C11" i="91"/>
  <c r="C20" i="91"/>
  <c r="C23" i="91" l="1"/>
  <c r="C22" i="91" s="1"/>
  <c r="C18" i="91"/>
  <c r="C17" i="91" l="1"/>
  <c r="G5" i="82"/>
  <c r="L11" i="82"/>
  <c r="K11" i="82"/>
  <c r="J10" i="82"/>
  <c r="I10" i="82"/>
  <c r="H10" i="82"/>
  <c r="G12" i="82"/>
  <c r="G11" i="82"/>
  <c r="G10" i="82"/>
  <c r="E10" i="82"/>
  <c r="E12" i="82"/>
  <c r="E11" i="82"/>
  <c r="Q12" i="92" l="1"/>
  <c r="F12" i="82" s="1"/>
  <c r="H9" i="82"/>
  <c r="G6" i="83" l="1"/>
  <c r="H6" i="83" s="1"/>
  <c r="O9" i="92"/>
  <c r="M9" i="92"/>
  <c r="Q8" i="92"/>
  <c r="C10" i="89"/>
  <c r="F10" i="82" l="1"/>
  <c r="G4" i="83"/>
  <c r="H4" i="83" s="1"/>
  <c r="Q9" i="92"/>
  <c r="I5" i="82"/>
  <c r="F11" i="82" l="1"/>
  <c r="G5" i="83"/>
  <c r="H5" i="83" s="1"/>
  <c r="H5" i="82"/>
  <c r="E26" i="81" l="1"/>
  <c r="E25" i="81"/>
  <c r="E23" i="81"/>
  <c r="F31" i="81" l="1"/>
  <c r="C43" i="91" s="1"/>
  <c r="C35" i="91"/>
  <c r="C34" i="91" s="1"/>
  <c r="J5" i="82" s="1"/>
  <c r="C31" i="88" l="1"/>
  <c r="C8" i="88" l="1"/>
  <c r="C9" i="88"/>
  <c r="C10" i="88"/>
  <c r="C11" i="88"/>
  <c r="C12" i="88"/>
  <c r="C15" i="88"/>
  <c r="C22" i="88"/>
  <c r="C25" i="88"/>
  <c r="C6" i="88" l="1"/>
  <c r="C38" i="88" l="1"/>
  <c r="C41" i="88" s="1"/>
  <c r="C40" i="91" s="1"/>
  <c r="C39" i="91" s="1"/>
  <c r="K5" i="82" s="1"/>
  <c r="C42" i="91" l="1"/>
  <c r="C45" i="91" l="1"/>
  <c r="C49" i="91" s="1"/>
  <c r="L5" i="82"/>
  <c r="C47" i="91" l="1"/>
  <c r="F16" i="92"/>
  <c r="Q16" i="92" s="1"/>
  <c r="G8" i="83" s="1"/>
  <c r="H8" i="83" s="1"/>
  <c r="F15" i="92"/>
  <c r="Q15" i="92" s="1"/>
  <c r="E5" i="82"/>
  <c r="F5" i="82" s="1"/>
  <c r="Q17" i="92" l="1"/>
  <c r="Q18" i="92" s="1"/>
  <c r="K14" i="82" s="1"/>
  <c r="G7" i="83"/>
  <c r="H7" i="83" l="1"/>
  <c r="H9" i="83" s="1"/>
  <c r="G9" i="83"/>
  <c r="D9" i="89" l="1"/>
  <c r="E9" i="89" s="1"/>
  <c r="D4" i="89"/>
  <c r="E4" i="89" s="1"/>
  <c r="D7" i="89"/>
  <c r="E7" i="89" s="1"/>
  <c r="D5" i="89"/>
  <c r="E5" i="89" s="1"/>
  <c r="D6" i="89"/>
  <c r="E6" i="89" s="1"/>
  <c r="D8" i="89"/>
  <c r="E8" i="89" s="1"/>
  <c r="E10" i="89" l="1"/>
  <c r="F7" i="89" s="1"/>
  <c r="F9" i="89" l="1"/>
  <c r="F5" i="89"/>
  <c r="F8" i="89"/>
  <c r="F4" i="89"/>
  <c r="F6" i="8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EA97177-DBF2-40CA-9F69-191E0CDA2518}" keepAlive="1" name="Consulta - Tabela1" description="Conexão com a consulta 'Tabela1' na pasta de trabalho." type="5" refreshedVersion="8" background="1" saveData="1">
    <dbPr connection="Provider=Microsoft.Mashup.OleDb.1;Data Source=$Workbook$;Location=Tabela1;Extended Properties=&quot;&quot;" command="SELECT * FROM [Tabela1]"/>
  </connection>
</connections>
</file>

<file path=xl/sharedStrings.xml><?xml version="1.0" encoding="utf-8"?>
<sst xmlns="http://schemas.openxmlformats.org/spreadsheetml/2006/main" count="219" uniqueCount="168">
  <si>
    <t>INSTRUÇÕES PARA PREENCHIMENTO</t>
  </si>
  <si>
    <r>
      <t xml:space="preserve">• Preencher apenas as células destacadas em </t>
    </r>
    <r>
      <rPr>
        <b/>
        <sz val="10"/>
        <color rgb="FF0070C0"/>
        <rFont val="Calibri"/>
        <family val="2"/>
        <scheme val="minor"/>
      </rPr>
      <t>azul</t>
    </r>
    <r>
      <rPr>
        <b/>
        <sz val="10"/>
        <rFont val="Calibri"/>
        <family val="2"/>
        <scheme val="minor"/>
      </rPr>
      <t>, nas abas "Dados da empresa", "Dados do orçamento" e "Encargos sociais";</t>
    </r>
    <r>
      <rPr>
        <b/>
        <sz val="10"/>
        <color theme="1"/>
        <rFont val="Calibri"/>
        <family val="2"/>
        <scheme val="minor"/>
      </rPr>
      <t xml:space="preserve">
• Arredondar valores para a segunda casa decimal.</t>
    </r>
  </si>
  <si>
    <t>DADOS DA EMPRESA</t>
  </si>
  <si>
    <t>Razão Social</t>
  </si>
  <si>
    <t>CNPJ</t>
  </si>
  <si>
    <t>Endereço</t>
  </si>
  <si>
    <t>Telefone</t>
  </si>
  <si>
    <t>Contato</t>
  </si>
  <si>
    <t>E-mail</t>
  </si>
  <si>
    <t>RAT</t>
  </si>
  <si>
    <t>FAP</t>
  </si>
  <si>
    <t>Sindicato da Categoria</t>
  </si>
  <si>
    <t>Data-base</t>
  </si>
  <si>
    <t>Regime de tributação</t>
  </si>
  <si>
    <t>Faturamento nos 12 meses anteriores (se optante SIMPLES)</t>
  </si>
  <si>
    <t>Faixa Simples Nacional</t>
  </si>
  <si>
    <t>A empresa utiliza crédito de PIS/Cofins?</t>
  </si>
  <si>
    <t xml:space="preserve">COMPONENTES DO BDI </t>
  </si>
  <si>
    <t>Item</t>
  </si>
  <si>
    <t>Componentes</t>
  </si>
  <si>
    <t>% do faturamento</t>
  </si>
  <si>
    <t>Total</t>
  </si>
  <si>
    <t>Despesas indiretas</t>
  </si>
  <si>
    <t>Administração Central</t>
  </si>
  <si>
    <t>Seguros</t>
  </si>
  <si>
    <t>Lucro bruto</t>
  </si>
  <si>
    <t>Lucro</t>
  </si>
  <si>
    <t>Despesas fiscais</t>
  </si>
  <si>
    <t>PIS</t>
  </si>
  <si>
    <t>COFINS</t>
  </si>
  <si>
    <t>DADOS DOS MUNICÍPIOS - VALE TRANSPORTE, ISS E RESULTADO BDI</t>
  </si>
  <si>
    <t>UR</t>
  </si>
  <si>
    <t>Vale Transporte</t>
  </si>
  <si>
    <t>Alíquota - ISS</t>
  </si>
  <si>
    <t>BDI</t>
  </si>
  <si>
    <t>Capital</t>
  </si>
  <si>
    <r>
      <t xml:space="preserve">• Preencher apenas as células destacadas em </t>
    </r>
    <r>
      <rPr>
        <b/>
        <sz val="10"/>
        <color rgb="FF0070C0"/>
        <rFont val="Calibri"/>
        <family val="2"/>
        <scheme val="minor"/>
      </rPr>
      <t xml:space="preserve">azul;
</t>
    </r>
    <r>
      <rPr>
        <b/>
        <sz val="10"/>
        <color theme="1"/>
        <rFont val="Calibri"/>
        <family val="2"/>
        <scheme val="minor"/>
      </rPr>
      <t>• Arredondar valores para a segunda casa decimal;
• Não inserir valores menores do que os estabelecidos na Convenção Coletiva da categoria.</t>
    </r>
  </si>
  <si>
    <t>Local</t>
  </si>
  <si>
    <t>Dias efetivamente trabalhados por mês</t>
  </si>
  <si>
    <t>Prazo contratual (meses)</t>
  </si>
  <si>
    <t>ORÇAMENTO - POR POSTO</t>
  </si>
  <si>
    <t>(1) Remuneração</t>
  </si>
  <si>
    <t>Salário Base</t>
  </si>
  <si>
    <t>(2) Benefícios mensais e diários</t>
  </si>
  <si>
    <t>Custo mensal</t>
  </si>
  <si>
    <t>Parcela do trabalhador</t>
  </si>
  <si>
    <t>Crédito PIS/COFINS</t>
  </si>
  <si>
    <t>Vale Refeição</t>
  </si>
  <si>
    <t>Valor diário</t>
  </si>
  <si>
    <t>Valor Unitário</t>
  </si>
  <si>
    <t>Parcela trabalhador</t>
  </si>
  <si>
    <t>Valor</t>
  </si>
  <si>
    <t>Norma Regulamentadora nº 07</t>
  </si>
  <si>
    <t>(3) Insumos diversos</t>
  </si>
  <si>
    <t>Uniformes e EPIs</t>
  </si>
  <si>
    <t>(4) Encargos Sociais e Trabalhistas</t>
  </si>
  <si>
    <t>Percentual sobre o salário base</t>
  </si>
  <si>
    <t>(5) BDI</t>
  </si>
  <si>
    <t>Percentual sobre os itens (1)+(2)+(3)+(4)</t>
  </si>
  <si>
    <t>Total - valor unitário mensal - (1)+(2)+(3)+(4)+(5)</t>
  </si>
  <si>
    <t>Valor do desconto por dia não trabalhado</t>
  </si>
  <si>
    <r>
      <t xml:space="preserve">• Preencher apenas as células destacadas em </t>
    </r>
    <r>
      <rPr>
        <b/>
        <sz val="10"/>
        <color rgb="FF0070C0"/>
        <rFont val="Calibri"/>
        <family val="2"/>
        <scheme val="minor"/>
      </rPr>
      <t>azul</t>
    </r>
    <r>
      <rPr>
        <b/>
        <sz val="10"/>
        <color theme="1"/>
        <rFont val="Calibri"/>
        <family val="2"/>
        <scheme val="minor"/>
      </rPr>
      <t>;
• Arredondar valores para a quarta casa decimal;
• Os valores deverão ser preenchidos com os percentuais próprios da empresa, tendo por base a sua realidade.</t>
    </r>
  </si>
  <si>
    <t>CÁLCULO DOS ENCARGOS SOCIAIS E TRABALHISTAS</t>
  </si>
  <si>
    <t>Grupo A - Encargos sociais básicos</t>
  </si>
  <si>
    <t>Previdência Social</t>
  </si>
  <si>
    <t>SESI</t>
  </si>
  <si>
    <t>SENAI</t>
  </si>
  <si>
    <t>INCRA</t>
  </si>
  <si>
    <t>SEBRAE</t>
  </si>
  <si>
    <t>Salário-educação</t>
  </si>
  <si>
    <t>Fundo de Garantia por Tempo de Serviço</t>
  </si>
  <si>
    <t>Seguro contra acidentes de trabalho (SAT) (RATxFAP)</t>
  </si>
  <si>
    <t>Grupo B - Tempo remunerado e não trabalhado</t>
  </si>
  <si>
    <t>Férias</t>
  </si>
  <si>
    <t>Licença paternidade</t>
  </si>
  <si>
    <t>Acidente de trabalho</t>
  </si>
  <si>
    <t>Aviso prévio trabalho</t>
  </si>
  <si>
    <t>GRUPO C - Adicional de férias e 13º Salário</t>
  </si>
  <si>
    <t>Adicional de férias</t>
  </si>
  <si>
    <t>13º salário</t>
  </si>
  <si>
    <t>GRUPO D -Obrigações rescisórias</t>
  </si>
  <si>
    <t>Aviso prévio indenizado</t>
  </si>
  <si>
    <t>Incidência do FGTS sobre o aviso prévio indenizado</t>
  </si>
  <si>
    <t>Inc. da multa FGTS e da Contribuição Social sobre os depósitos do FGTS</t>
  </si>
  <si>
    <t>Inc. da multa FGTS e da Contribuição Social sobre o aviso prévio indenizado</t>
  </si>
  <si>
    <t>Inc. da multa FGTS e da Contribuição Social sobre o aviso prévio trabalhado</t>
  </si>
  <si>
    <t>GRUPO E - Aprovisionamento de casos especiais</t>
  </si>
  <si>
    <t>Incidência do Grupo A sobre afastamento por licença maternidade</t>
  </si>
  <si>
    <t>Incidência do FGTS sobre o acidente de trabalho &gt; 15 dias</t>
  </si>
  <si>
    <t>Percentual referente ao abono pecúniário</t>
  </si>
  <si>
    <t>Percentual referente ao reflexo do aviso prévio indenizado sobre férias e 13º salário</t>
  </si>
  <si>
    <t>Incidência do FGTS sobre reflexo do aviso prévio indenizado sobre 13º salário</t>
  </si>
  <si>
    <t>Percentual referente a demitidos a 30 dias da data-base</t>
  </si>
  <si>
    <t xml:space="preserve">GRUPO F – Incidências cumulativas - Incidência Grupo A x (Grupos B + C) </t>
  </si>
  <si>
    <t>Incidência Grupo A sobre o Grupo B</t>
  </si>
  <si>
    <t>Incidência Grupo A sobre o Grupo C</t>
  </si>
  <si>
    <t>TOTAL DOS ENCARGOS SOCIAIS (Percentual do salário base)</t>
  </si>
  <si>
    <t>ORÇAMENTO SINTÉTICO - CONSOLIDADO POR ITEM</t>
  </si>
  <si>
    <t>Unidade</t>
  </si>
  <si>
    <t>Quantidade</t>
  </si>
  <si>
    <t>Periodicidade do pagamento</t>
  </si>
  <si>
    <t>Valor total mensal</t>
  </si>
  <si>
    <t>Valor total do contrato</t>
  </si>
  <si>
    <t>Posto</t>
  </si>
  <si>
    <t>Mensal</t>
  </si>
  <si>
    <t>Valor unitário mensal</t>
  </si>
  <si>
    <t>Detalhamento valor unitário</t>
  </si>
  <si>
    <t>Remuneração</t>
  </si>
  <si>
    <t>Outros benefícios</t>
  </si>
  <si>
    <t>Insumos diversos</t>
  </si>
  <si>
    <t>Encargos sociais e trabalhistas</t>
  </si>
  <si>
    <t>CRONOGRAMA FÍSICO-FINANCEIRO</t>
  </si>
  <si>
    <t>Ano</t>
  </si>
  <si>
    <t>Quantidade Meses</t>
  </si>
  <si>
    <t>Valor Mensal</t>
  </si>
  <si>
    <t>Valor Anual</t>
  </si>
  <si>
    <t>Hora</t>
  </si>
  <si>
    <t>Eventual</t>
  </si>
  <si>
    <t>Operador de Reprografia 44h</t>
  </si>
  <si>
    <t>Dia da categoria (Dia do Comerciário)</t>
  </si>
  <si>
    <t>Auxílio Funeral</t>
  </si>
  <si>
    <t>Operador de Reprografia</t>
  </si>
  <si>
    <t>%</t>
  </si>
  <si>
    <t>ANEXO D - PLANILHA DE PREÇOS</t>
  </si>
  <si>
    <t>ITEM</t>
  </si>
  <si>
    <t>Descrição</t>
  </si>
  <si>
    <t>Valor fixo por equipamento (R$)</t>
  </si>
  <si>
    <t>Quantidade estimada de impressões / cópias Monocromático A4 (X100)</t>
  </si>
  <si>
    <t>Valor da impressão / cópia Mono A4 (x100)</t>
  </si>
  <si>
    <t>Quantidade estimada de impressões / cópias Policromático A4 (X100)</t>
  </si>
  <si>
    <t>Valor da impressão / cópia Poli A4 (x100)</t>
  </si>
  <si>
    <t>Quantidade estimada de impressões / cópias Policromático A3 (X100)</t>
  </si>
  <si>
    <t>Valor da impressão / cópia Poli A3 (x100)</t>
  </si>
  <si>
    <t>Quantidade estimada de impressões / cópias Policromático A2 (X100)</t>
  </si>
  <si>
    <t>Valor da impressão / cópia Poli A2 (x100)</t>
  </si>
  <si>
    <t>Quantidade estimada de impressões / cópias Policromático A1 (X100)</t>
  </si>
  <si>
    <t>Valor da impressão / cópia Poli A1 (x100)</t>
  </si>
  <si>
    <t>Subtotal mensal (R$)</t>
  </si>
  <si>
    <t>Marca e Modelo do equipamento</t>
  </si>
  <si>
    <t>Outsourcing de impressão – modalidade locação de equipamento com pagamento por páginas impressas – policromática até A3 – com papel</t>
  </si>
  <si>
    <t>Não aplicável</t>
  </si>
  <si>
    <t>Outsourcing de impressão – modalidade locação de equipamento com pagamento por páginas impressas – policromática até A1 – com papel</t>
  </si>
  <si>
    <t>Outsourcing de impressão – modalidade locação de equipamento com pagamento por páginas impressas - scanner de produção A3</t>
  </si>
  <si>
    <t>Valor fixo por posto / hora-extra (R$)</t>
  </si>
  <si>
    <t>Posto de serviço – Operador de Reprografia Diurno</t>
  </si>
  <si>
    <t>Operador de Reprografia Diurno (hora estimada de serviço extraordinário)</t>
  </si>
  <si>
    <t>30 horas/mês</t>
  </si>
  <si>
    <t>VALOR TOTAL MENSAL (R$)</t>
  </si>
  <si>
    <t>Valor Total Global para 60 meses (R$)</t>
  </si>
  <si>
    <t>Equipamento + Produção</t>
  </si>
  <si>
    <t>Equipamento</t>
  </si>
  <si>
    <t>ORÇAMENTO ANALÍTICO - MÃO DE OBRA</t>
  </si>
  <si>
    <t>ORÇAMENTO ANALÍTICO - EQUIPAMENTO E PRODUÇÃO</t>
  </si>
  <si>
    <t>Valor unitário mensal (equipamento)</t>
  </si>
  <si>
    <t>Valor total mensal (equipamento + produção)</t>
  </si>
  <si>
    <t>Policromática até A3 – com papel</t>
  </si>
  <si>
    <t>Policromática até A1 – com papel</t>
  </si>
  <si>
    <t>Scanner de produção A3</t>
  </si>
  <si>
    <t>VALOR TOTAL DO CONTRATO (60 meses)</t>
  </si>
  <si>
    <t>Ausência por enfermidade &lt;= 15 dias</t>
  </si>
  <si>
    <t>Ausências legais</t>
  </si>
  <si>
    <t>Valor - Serviços Extraordinários (por hora)</t>
  </si>
  <si>
    <t>Lucro presumido - Incidência cumulativa de PIS e COFINS</t>
  </si>
  <si>
    <t>Sim</t>
  </si>
  <si>
    <t>Outras parcelas salariais</t>
  </si>
  <si>
    <t>Outros Benefícios</t>
  </si>
  <si>
    <t>Especificar outras parcelas</t>
  </si>
  <si>
    <t>Especificar outros benefícios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</si>
</sst>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&quot;R$&quot;\ #,##0.00;\-&quot;R$&quot;\ #,##0.00"/>
    <numFmt numFmtId="165" formatCode="&quot;R$&quot;\ #,##0.00;[Red]\-&quot;R$&quot;\ #,##0.00"/>
    <numFmt numFmtId="166" formatCode="_-&quot;R$&quot;\ * #,##0.00_-;\-&quot;R$&quot;\ * #,##0.00_-;_-&quot;R$&quot;\ * &quot;-&quot;??_-;_-@_-"/>
    <numFmt numFmtId="167" formatCode="&quot;R$&quot;\ #,##0.00"/>
    <numFmt numFmtId="168" formatCode="&quot;R$&quot;\ #,##0.00;\-&quot;R$&quot;\ #,##0.00;\-"/>
    <numFmt numFmtId="169" formatCode="0;;\-"/>
    <numFmt numFmtId="170" formatCode="0.000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b/>
      <sz val="2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73">
    <xf numFmtId="0" fontId="0" fillId="0" borderId="0" xfId="0"/>
    <xf numFmtId="9" fontId="7" fillId="4" borderId="25" xfId="1" applyFont="1" applyFill="1" applyBorder="1" applyAlignment="1" applyProtection="1">
      <alignment horizontal="left" vertical="center" wrapText="1" indent="4"/>
    </xf>
    <xf numFmtId="0" fontId="0" fillId="4" borderId="0" xfId="0" applyFill="1"/>
    <xf numFmtId="0" fontId="3" fillId="4" borderId="0" xfId="0" applyFont="1" applyFill="1" applyAlignment="1">
      <alignment horizontal="center" vertical="center"/>
    </xf>
    <xf numFmtId="165" fontId="0" fillId="4" borderId="0" xfId="0" applyNumberFormat="1" applyFill="1"/>
    <xf numFmtId="0" fontId="5" fillId="5" borderId="13" xfId="0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" fillId="5" borderId="18" xfId="0" applyFont="1" applyFill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10" fontId="6" fillId="0" borderId="21" xfId="1" applyNumberFormat="1" applyFont="1" applyFill="1" applyBorder="1" applyAlignment="1" applyProtection="1">
      <alignment horizontal="center" vertical="center"/>
    </xf>
    <xf numFmtId="0" fontId="6" fillId="4" borderId="13" xfId="0" applyFont="1" applyFill="1" applyBorder="1" applyAlignment="1">
      <alignment vertical="center"/>
    </xf>
    <xf numFmtId="170" fontId="5" fillId="5" borderId="34" xfId="0" applyNumberFormat="1" applyFont="1" applyFill="1" applyBorder="1" applyAlignment="1">
      <alignment horizontal="center" vertical="center" wrapText="1"/>
    </xf>
    <xf numFmtId="170" fontId="5" fillId="5" borderId="9" xfId="0" applyNumberFormat="1" applyFont="1" applyFill="1" applyBorder="1" applyAlignment="1">
      <alignment horizontal="center" vertical="center" wrapText="1"/>
    </xf>
    <xf numFmtId="170" fontId="5" fillId="0" borderId="22" xfId="0" applyNumberFormat="1" applyFont="1" applyBorder="1" applyAlignment="1">
      <alignment horizontal="center" vertical="center" wrapText="1"/>
    </xf>
    <xf numFmtId="164" fontId="0" fillId="4" borderId="0" xfId="0" applyNumberFormat="1" applyFill="1"/>
    <xf numFmtId="170" fontId="6" fillId="4" borderId="9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165" fontId="3" fillId="4" borderId="0" xfId="0" applyNumberFormat="1" applyFont="1" applyFill="1" applyAlignment="1">
      <alignment horizontal="center" vertical="center"/>
    </xf>
    <xf numFmtId="0" fontId="3" fillId="4" borderId="0" xfId="0" applyFont="1" applyFill="1"/>
    <xf numFmtId="0" fontId="3" fillId="4" borderId="0" xfId="0" applyFont="1" applyFill="1" applyAlignment="1">
      <alignment horizontal="center" vertical="center" wrapText="1"/>
    </xf>
    <xf numFmtId="0" fontId="4" fillId="0" borderId="23" xfId="2" applyNumberFormat="1" applyFont="1" applyFill="1" applyBorder="1" applyAlignment="1" applyProtection="1">
      <alignment horizontal="center" vertical="center"/>
    </xf>
    <xf numFmtId="3" fontId="4" fillId="4" borderId="22" xfId="2" applyNumberFormat="1" applyFont="1" applyFill="1" applyBorder="1" applyAlignment="1" applyProtection="1">
      <alignment horizontal="center" vertical="center"/>
    </xf>
    <xf numFmtId="170" fontId="6" fillId="0" borderId="9" xfId="0" applyNumberFormat="1" applyFont="1" applyBorder="1" applyAlignment="1">
      <alignment horizontal="center" vertical="center"/>
    </xf>
    <xf numFmtId="170" fontId="6" fillId="0" borderId="36" xfId="0" applyNumberFormat="1" applyFont="1" applyBorder="1" applyAlignment="1">
      <alignment horizontal="center" vertical="center"/>
    </xf>
    <xf numFmtId="0" fontId="3" fillId="4" borderId="9" xfId="3" applyNumberFormat="1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4" fontId="4" fillId="4" borderId="14" xfId="2" applyNumberFormat="1" applyFont="1" applyFill="1" applyBorder="1" applyAlignment="1" applyProtection="1">
      <alignment horizontal="center" vertical="center"/>
    </xf>
    <xf numFmtId="165" fontId="4" fillId="2" borderId="6" xfId="2" applyNumberFormat="1" applyFont="1" applyFill="1" applyBorder="1" applyAlignment="1" applyProtection="1">
      <alignment horizontal="right" vertical="center"/>
    </xf>
    <xf numFmtId="165" fontId="7" fillId="4" borderId="28" xfId="2" applyNumberFormat="1" applyFont="1" applyFill="1" applyBorder="1" applyAlignment="1" applyProtection="1">
      <alignment horizontal="right" vertical="center"/>
    </xf>
    <xf numFmtId="165" fontId="4" fillId="2" borderId="28" xfId="2" applyNumberFormat="1" applyFont="1" applyFill="1" applyBorder="1" applyAlignment="1" applyProtection="1">
      <alignment horizontal="right" vertical="center"/>
    </xf>
    <xf numFmtId="165" fontId="4" fillId="4" borderId="28" xfId="2" applyNumberFormat="1" applyFont="1" applyFill="1" applyBorder="1" applyAlignment="1" applyProtection="1">
      <alignment horizontal="right" vertical="center"/>
    </xf>
    <xf numFmtId="165" fontId="3" fillId="4" borderId="28" xfId="2" applyNumberFormat="1" applyFont="1" applyFill="1" applyBorder="1" applyAlignment="1" applyProtection="1">
      <alignment horizontal="right" vertical="center"/>
    </xf>
    <xf numFmtId="167" fontId="3" fillId="4" borderId="28" xfId="2" applyNumberFormat="1" applyFont="1" applyFill="1" applyBorder="1" applyAlignment="1" applyProtection="1">
      <alignment horizontal="right" vertical="center"/>
    </xf>
    <xf numFmtId="167" fontId="7" fillId="4" borderId="28" xfId="1" applyNumberFormat="1" applyFont="1" applyFill="1" applyBorder="1" applyAlignment="1" applyProtection="1">
      <alignment horizontal="right" vertical="center"/>
    </xf>
    <xf numFmtId="167" fontId="4" fillId="2" borderId="28" xfId="2" applyNumberFormat="1" applyFont="1" applyFill="1" applyBorder="1" applyAlignment="1" applyProtection="1">
      <alignment horizontal="right" vertical="center"/>
    </xf>
    <xf numFmtId="10" fontId="3" fillId="4" borderId="28" xfId="1" applyNumberFormat="1" applyFont="1" applyFill="1" applyBorder="1" applyAlignment="1" applyProtection="1">
      <alignment horizontal="right" vertical="center"/>
    </xf>
    <xf numFmtId="167" fontId="3" fillId="4" borderId="28" xfId="1" applyNumberFormat="1" applyFont="1" applyFill="1" applyBorder="1" applyAlignment="1" applyProtection="1">
      <alignment horizontal="right" vertical="center"/>
    </xf>
    <xf numFmtId="167" fontId="3" fillId="4" borderId="30" xfId="1" applyNumberFormat="1" applyFont="1" applyFill="1" applyBorder="1" applyAlignment="1" applyProtection="1">
      <alignment horizontal="right" vertical="center"/>
    </xf>
    <xf numFmtId="167" fontId="4" fillId="4" borderId="3" xfId="2" applyNumberFormat="1" applyFont="1" applyFill="1" applyBorder="1" applyAlignment="1" applyProtection="1">
      <alignment horizontal="right" vertical="center"/>
    </xf>
    <xf numFmtId="169" fontId="3" fillId="4" borderId="33" xfId="0" applyNumberFormat="1" applyFont="1" applyFill="1" applyBorder="1" applyAlignment="1">
      <alignment horizontal="center" vertical="center"/>
    </xf>
    <xf numFmtId="168" fontId="3" fillId="4" borderId="33" xfId="0" applyNumberFormat="1" applyFont="1" applyFill="1" applyBorder="1" applyAlignment="1">
      <alignment horizontal="center" vertical="center"/>
    </xf>
    <xf numFmtId="168" fontId="3" fillId="4" borderId="22" xfId="0" applyNumberFormat="1" applyFont="1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168" fontId="3" fillId="4" borderId="54" xfId="0" applyNumberFormat="1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4" fillId="7" borderId="51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167" fontId="4" fillId="4" borderId="5" xfId="2" applyNumberFormat="1" applyFont="1" applyFill="1" applyBorder="1" applyAlignment="1" applyProtection="1">
      <alignment horizontal="right" vertical="center"/>
    </xf>
    <xf numFmtId="0" fontId="13" fillId="8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169" fontId="3" fillId="4" borderId="9" xfId="0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13" fillId="8" borderId="50" xfId="0" applyFont="1" applyFill="1" applyBorder="1" applyAlignment="1">
      <alignment horizontal="center" vertical="center" wrapText="1"/>
    </xf>
    <xf numFmtId="0" fontId="4" fillId="7" borderId="43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169" fontId="3" fillId="4" borderId="0" xfId="0" applyNumberFormat="1" applyFont="1" applyFill="1" applyAlignment="1">
      <alignment horizontal="center" vertical="center"/>
    </xf>
    <xf numFmtId="168" fontId="3" fillId="4" borderId="0" xfId="0" applyNumberFormat="1" applyFont="1" applyFill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14" fillId="0" borderId="59" xfId="0" applyFont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wrapText="1"/>
    </xf>
    <xf numFmtId="166" fontId="3" fillId="4" borderId="9" xfId="3" applyFont="1" applyFill="1" applyBorder="1" applyAlignment="1">
      <alignment horizontal="center" vertical="center"/>
    </xf>
    <xf numFmtId="166" fontId="3" fillId="4" borderId="14" xfId="3" applyFont="1" applyFill="1" applyBorder="1" applyAlignment="1">
      <alignment horizontal="center" vertical="center"/>
    </xf>
    <xf numFmtId="166" fontId="3" fillId="4" borderId="16" xfId="3" applyFont="1" applyFill="1" applyBorder="1" applyAlignment="1">
      <alignment horizontal="center" vertical="center"/>
    </xf>
    <xf numFmtId="166" fontId="3" fillId="4" borderId="17" xfId="3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/>
    </xf>
    <xf numFmtId="166" fontId="3" fillId="4" borderId="50" xfId="3" applyFont="1" applyFill="1" applyBorder="1" applyAlignment="1">
      <alignment horizontal="center" vertical="center"/>
    </xf>
    <xf numFmtId="166" fontId="3" fillId="4" borderId="51" xfId="3" applyFont="1" applyFill="1" applyBorder="1" applyAlignment="1">
      <alignment horizontal="center" vertical="center"/>
    </xf>
    <xf numFmtId="166" fontId="16" fillId="9" borderId="9" xfId="3" applyFont="1" applyFill="1" applyBorder="1" applyAlignment="1" applyProtection="1">
      <alignment horizontal="center" vertical="center"/>
      <protection locked="0"/>
    </xf>
    <xf numFmtId="0" fontId="16" fillId="9" borderId="9" xfId="0" applyFont="1" applyFill="1" applyBorder="1" applyAlignment="1" applyProtection="1">
      <alignment horizontal="center" vertical="center"/>
      <protection locked="0"/>
    </xf>
    <xf numFmtId="166" fontId="16" fillId="0" borderId="9" xfId="3" applyFont="1" applyBorder="1" applyAlignment="1" applyProtection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4" borderId="50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14" fillId="0" borderId="57" xfId="0" applyFont="1" applyBorder="1" applyAlignment="1">
      <alignment horizontal="center" vertical="center" wrapText="1"/>
    </xf>
    <xf numFmtId="166" fontId="0" fillId="0" borderId="45" xfId="3" applyFont="1" applyBorder="1" applyAlignment="1">
      <alignment horizontal="center" vertical="center"/>
    </xf>
    <xf numFmtId="166" fontId="0" fillId="0" borderId="38" xfId="3" applyFont="1" applyBorder="1" applyAlignment="1">
      <alignment horizontal="center" vertical="center"/>
    </xf>
    <xf numFmtId="166" fontId="0" fillId="4" borderId="38" xfId="3" applyFont="1" applyFill="1" applyBorder="1" applyAlignment="1">
      <alignment horizontal="center" vertical="center"/>
    </xf>
    <xf numFmtId="166" fontId="0" fillId="4" borderId="40" xfId="3" applyFont="1" applyFill="1" applyBorder="1" applyAlignment="1">
      <alignment horizontal="center" vertical="center"/>
    </xf>
    <xf numFmtId="166" fontId="0" fillId="0" borderId="57" xfId="3" applyFont="1" applyBorder="1" applyAlignment="1">
      <alignment horizontal="center" vertical="center"/>
    </xf>
    <xf numFmtId="166" fontId="0" fillId="4" borderId="59" xfId="3" applyFont="1" applyFill="1" applyBorder="1" applyAlignment="1">
      <alignment horizontal="center" vertical="center"/>
    </xf>
    <xf numFmtId="166" fontId="2" fillId="4" borderId="4" xfId="3" applyFont="1" applyFill="1" applyBorder="1" applyAlignment="1">
      <alignment horizontal="center"/>
    </xf>
    <xf numFmtId="166" fontId="0" fillId="4" borderId="58" xfId="3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166" fontId="4" fillId="0" borderId="54" xfId="3" applyFont="1" applyBorder="1" applyAlignment="1">
      <alignment horizontal="center" vertical="center"/>
    </xf>
    <xf numFmtId="10" fontId="4" fillId="0" borderId="22" xfId="1" applyNumberFormat="1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3" fillId="4" borderId="11" xfId="3" applyNumberFormat="1" applyFont="1" applyFill="1" applyBorder="1" applyAlignment="1">
      <alignment horizontal="center" vertical="center"/>
    </xf>
    <xf numFmtId="166" fontId="3" fillId="4" borderId="11" xfId="3" applyFont="1" applyFill="1" applyBorder="1" applyAlignment="1">
      <alignment horizontal="center" vertical="center"/>
    </xf>
    <xf numFmtId="10" fontId="4" fillId="4" borderId="12" xfId="1" applyNumberFormat="1" applyFont="1" applyFill="1" applyBorder="1" applyAlignment="1">
      <alignment horizontal="center" vertical="center"/>
    </xf>
    <xf numFmtId="10" fontId="4" fillId="4" borderId="14" xfId="1" applyNumberFormat="1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3" fillId="4" borderId="16" xfId="3" applyNumberFormat="1" applyFont="1" applyFill="1" applyBorder="1" applyAlignment="1">
      <alignment horizontal="center" vertical="center"/>
    </xf>
    <xf numFmtId="10" fontId="4" fillId="4" borderId="17" xfId="1" applyNumberFormat="1" applyFont="1" applyFill="1" applyBorder="1" applyAlignment="1">
      <alignment horizontal="center" vertical="center"/>
    </xf>
    <xf numFmtId="0" fontId="13" fillId="8" borderId="9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1" fillId="0" borderId="0" xfId="0" applyFont="1"/>
    <xf numFmtId="166" fontId="16" fillId="0" borderId="9" xfId="0" applyNumberFormat="1" applyFont="1" applyBorder="1" applyAlignment="1">
      <alignment horizontal="center" vertical="center"/>
    </xf>
    <xf numFmtId="0" fontId="15" fillId="8" borderId="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3" fillId="0" borderId="0" xfId="0" applyFont="1"/>
    <xf numFmtId="0" fontId="3" fillId="4" borderId="10" xfId="0" applyFont="1" applyFill="1" applyBorder="1" applyAlignment="1">
      <alignment vertical="center"/>
    </xf>
    <xf numFmtId="0" fontId="3" fillId="4" borderId="13" xfId="0" applyFont="1" applyFill="1" applyBorder="1" applyAlignment="1">
      <alignment vertical="center"/>
    </xf>
    <xf numFmtId="165" fontId="3" fillId="4" borderId="0" xfId="0" applyNumberFormat="1" applyFont="1" applyFill="1" applyAlignment="1">
      <alignment vertical="center"/>
    </xf>
    <xf numFmtId="2" fontId="3" fillId="4" borderId="0" xfId="1" applyNumberFormat="1" applyFont="1" applyFill="1" applyAlignment="1" applyProtection="1">
      <alignment horizontal="left" vertical="center"/>
    </xf>
    <xf numFmtId="0" fontId="3" fillId="0" borderId="13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vertical="center"/>
    </xf>
    <xf numFmtId="0" fontId="5" fillId="2" borderId="33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6" fillId="0" borderId="45" xfId="0" applyFont="1" applyBorder="1" applyAlignment="1">
      <alignment vertical="center"/>
    </xf>
    <xf numFmtId="165" fontId="3" fillId="4" borderId="0" xfId="0" applyNumberFormat="1" applyFont="1" applyFill="1" applyAlignment="1">
      <alignment horizontal="left" vertical="center"/>
    </xf>
    <xf numFmtId="0" fontId="6" fillId="0" borderId="40" xfId="0" applyFont="1" applyBorder="1" applyAlignment="1">
      <alignment vertical="center"/>
    </xf>
    <xf numFmtId="0" fontId="6" fillId="0" borderId="20" xfId="0" applyFont="1" applyBorder="1" applyAlignment="1">
      <alignment horizontal="left" vertical="center" wrapText="1"/>
    </xf>
    <xf numFmtId="0" fontId="6" fillId="0" borderId="46" xfId="0" applyFont="1" applyBorder="1" applyAlignment="1">
      <alignment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10" fontId="3" fillId="0" borderId="22" xfId="0" applyNumberFormat="1" applyFont="1" applyBorder="1" applyAlignment="1">
      <alignment horizontal="center" vertical="center"/>
    </xf>
    <xf numFmtId="170" fontId="6" fillId="4" borderId="9" xfId="1" applyNumberFormat="1" applyFont="1" applyFill="1" applyBorder="1" applyAlignment="1">
      <alignment horizontal="center" vertical="center"/>
    </xf>
    <xf numFmtId="10" fontId="6" fillId="3" borderId="11" xfId="1" applyNumberFormat="1" applyFont="1" applyFill="1" applyBorder="1" applyAlignment="1" applyProtection="1">
      <alignment horizontal="center" vertical="center"/>
      <protection locked="0"/>
    </xf>
    <xf numFmtId="10" fontId="6" fillId="3" borderId="16" xfId="1" applyNumberFormat="1" applyFont="1" applyFill="1" applyBorder="1" applyAlignment="1" applyProtection="1">
      <alignment horizontal="center" vertical="center"/>
      <protection locked="0"/>
    </xf>
    <xf numFmtId="10" fontId="6" fillId="3" borderId="35" xfId="1" applyNumberFormat="1" applyFont="1" applyFill="1" applyBorder="1" applyAlignment="1" applyProtection="1">
      <alignment horizontal="center" vertical="center"/>
      <protection locked="0"/>
    </xf>
    <xf numFmtId="10" fontId="6" fillId="3" borderId="34" xfId="1" applyNumberFormat="1" applyFont="1" applyFill="1" applyBorder="1" applyAlignment="1" applyProtection="1">
      <alignment horizontal="center" vertical="center"/>
      <protection locked="0"/>
    </xf>
    <xf numFmtId="165" fontId="3" fillId="3" borderId="33" xfId="2" applyNumberFormat="1" applyFont="1" applyFill="1" applyBorder="1" applyAlignment="1" applyProtection="1">
      <alignment horizontal="center" vertical="center"/>
      <protection locked="0"/>
    </xf>
    <xf numFmtId="0" fontId="7" fillId="6" borderId="25" xfId="0" applyFont="1" applyFill="1" applyBorder="1" applyAlignment="1" applyProtection="1">
      <alignment horizontal="left" vertical="center" wrapText="1" indent="4"/>
      <protection locked="0"/>
    </xf>
    <xf numFmtId="0" fontId="4" fillId="2" borderId="13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7" fillId="4" borderId="25" xfId="0" applyFont="1" applyFill="1" applyBorder="1" applyAlignment="1">
      <alignment horizontal="left" vertical="center" wrapText="1" indent="2"/>
    </xf>
    <xf numFmtId="165" fontId="3" fillId="4" borderId="28" xfId="0" applyNumberFormat="1" applyFont="1" applyFill="1" applyBorder="1" applyAlignment="1">
      <alignment horizontal="right"/>
    </xf>
    <xf numFmtId="0" fontId="4" fillId="2" borderId="25" xfId="0" applyFont="1" applyFill="1" applyBorder="1"/>
    <xf numFmtId="0" fontId="4" fillId="4" borderId="25" xfId="0" applyFont="1" applyFill="1" applyBorder="1" applyAlignment="1">
      <alignment horizontal="left" indent="2"/>
    </xf>
    <xf numFmtId="0" fontId="3" fillId="4" borderId="25" xfId="0" applyFont="1" applyFill="1" applyBorder="1" applyAlignment="1">
      <alignment horizontal="left" indent="4"/>
    </xf>
    <xf numFmtId="0" fontId="7" fillId="4" borderId="25" xfId="0" applyFont="1" applyFill="1" applyBorder="1" applyAlignment="1">
      <alignment horizontal="left" vertical="center" wrapText="1" indent="4"/>
    </xf>
    <xf numFmtId="0" fontId="7" fillId="4" borderId="25" xfId="0" applyFont="1" applyFill="1" applyBorder="1" applyAlignment="1">
      <alignment horizontal="left" vertical="center" wrapText="1" indent="6"/>
    </xf>
    <xf numFmtId="0" fontId="3" fillId="4" borderId="25" xfId="0" applyFont="1" applyFill="1" applyBorder="1" applyAlignment="1">
      <alignment horizontal="left" indent="2"/>
    </xf>
    <xf numFmtId="0" fontId="4" fillId="2" borderId="25" xfId="0" applyFont="1" applyFill="1" applyBorder="1" applyAlignment="1">
      <alignment horizontal="left"/>
    </xf>
    <xf numFmtId="165" fontId="4" fillId="4" borderId="28" xfId="0" applyNumberFormat="1" applyFont="1" applyFill="1" applyBorder="1" applyAlignment="1">
      <alignment horizontal="right" vertical="center"/>
    </xf>
    <xf numFmtId="0" fontId="3" fillId="4" borderId="25" xfId="0" applyFont="1" applyFill="1" applyBorder="1" applyAlignment="1">
      <alignment horizontal="left" vertical="center" indent="4"/>
    </xf>
    <xf numFmtId="0" fontId="3" fillId="0" borderId="25" xfId="0" applyFont="1" applyBorder="1" applyAlignment="1">
      <alignment horizontal="left" indent="2"/>
    </xf>
    <xf numFmtId="0" fontId="3" fillId="4" borderId="29" xfId="0" applyFont="1" applyFill="1" applyBorder="1" applyAlignment="1">
      <alignment horizontal="left" indent="4"/>
    </xf>
    <xf numFmtId="0" fontId="4" fillId="4" borderId="26" xfId="0" applyFont="1" applyFill="1" applyBorder="1"/>
    <xf numFmtId="0" fontId="3" fillId="0" borderId="27" xfId="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left"/>
    </xf>
    <xf numFmtId="166" fontId="3" fillId="6" borderId="28" xfId="3" applyFont="1" applyFill="1" applyBorder="1" applyAlignment="1" applyProtection="1">
      <alignment horizontal="right" vertical="center"/>
      <protection locked="0"/>
    </xf>
    <xf numFmtId="166" fontId="3" fillId="6" borderId="28" xfId="3" applyFont="1" applyFill="1" applyBorder="1" applyAlignment="1" applyProtection="1">
      <alignment horizontal="right"/>
      <protection locked="0"/>
    </xf>
    <xf numFmtId="165" fontId="3" fillId="3" borderId="28" xfId="2" applyNumberFormat="1" applyFont="1" applyFill="1" applyBorder="1" applyAlignment="1" applyProtection="1">
      <alignment horizontal="right" vertical="center"/>
      <protection locked="0"/>
    </xf>
    <xf numFmtId="165" fontId="4" fillId="3" borderId="28" xfId="2" applyNumberFormat="1" applyFont="1" applyFill="1" applyBorder="1" applyAlignment="1" applyProtection="1">
      <alignment horizontal="right" vertical="center"/>
      <protection locked="0"/>
    </xf>
    <xf numFmtId="170" fontId="6" fillId="3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0" fontId="6" fillId="0" borderId="12" xfId="1" applyNumberFormat="1" applyFont="1" applyFill="1" applyBorder="1" applyAlignment="1" applyProtection="1">
      <alignment horizontal="center" vertical="center"/>
    </xf>
    <xf numFmtId="10" fontId="6" fillId="0" borderId="17" xfId="1" applyNumberFormat="1" applyFont="1" applyFill="1" applyBorder="1" applyAlignment="1" applyProtection="1">
      <alignment horizontal="center" vertical="center"/>
    </xf>
    <xf numFmtId="0" fontId="6" fillId="0" borderId="18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165" fontId="3" fillId="3" borderId="16" xfId="2" applyNumberFormat="1" applyFont="1" applyFill="1" applyBorder="1" applyAlignment="1" applyProtection="1">
      <alignment horizontal="center" vertical="center"/>
    </xf>
    <xf numFmtId="165" fontId="3" fillId="3" borderId="17" xfId="2" applyNumberFormat="1" applyFont="1" applyFill="1" applyBorder="1" applyAlignment="1" applyProtection="1">
      <alignment horizontal="center" vertical="center"/>
    </xf>
    <xf numFmtId="2" fontId="4" fillId="3" borderId="38" xfId="1" applyNumberFormat="1" applyFont="1" applyFill="1" applyBorder="1" applyAlignment="1" applyProtection="1">
      <alignment horizontal="center" vertical="center"/>
      <protection locked="0"/>
    </xf>
    <xf numFmtId="2" fontId="4" fillId="3" borderId="39" xfId="1" applyNumberFormat="1" applyFont="1" applyFill="1" applyBorder="1" applyAlignment="1" applyProtection="1">
      <alignment horizontal="center" vertical="center"/>
      <protection locked="0"/>
    </xf>
    <xf numFmtId="2" fontId="4" fillId="3" borderId="24" xfId="1" applyNumberFormat="1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165" fontId="3" fillId="3" borderId="38" xfId="2" applyNumberFormat="1" applyFont="1" applyFill="1" applyBorder="1" applyAlignment="1" applyProtection="1">
      <alignment horizontal="center" vertical="center"/>
    </xf>
    <xf numFmtId="165" fontId="3" fillId="3" borderId="39" xfId="2" applyNumberFormat="1" applyFont="1" applyFill="1" applyBorder="1" applyAlignment="1" applyProtection="1">
      <alignment horizontal="center" vertical="center"/>
    </xf>
    <xf numFmtId="165" fontId="3" fillId="3" borderId="24" xfId="2" applyNumberFormat="1" applyFont="1" applyFill="1" applyBorder="1" applyAlignment="1" applyProtection="1">
      <alignment horizontal="center" vertical="center"/>
    </xf>
    <xf numFmtId="0" fontId="4" fillId="3" borderId="45" xfId="0" applyFont="1" applyFill="1" applyBorder="1" applyAlignment="1" applyProtection="1">
      <alignment horizontal="center" vertical="center"/>
      <protection locked="0"/>
    </xf>
    <xf numFmtId="0" fontId="4" fillId="3" borderId="55" xfId="0" applyFont="1" applyFill="1" applyBorder="1" applyAlignment="1" applyProtection="1">
      <alignment horizontal="center" vertical="center"/>
      <protection locked="0"/>
    </xf>
    <xf numFmtId="0" fontId="4" fillId="3" borderId="49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10" fontId="6" fillId="0" borderId="19" xfId="1" applyNumberFormat="1" applyFont="1" applyFill="1" applyBorder="1" applyAlignment="1" applyProtection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17" fillId="8" borderId="9" xfId="0" applyFont="1" applyFill="1" applyBorder="1" applyAlignment="1">
      <alignment horizontal="right" vertical="center"/>
    </xf>
    <xf numFmtId="166" fontId="17" fillId="8" borderId="9" xfId="0" applyNumberFormat="1" applyFont="1" applyFill="1" applyBorder="1" applyAlignment="1">
      <alignment horizontal="center"/>
    </xf>
    <xf numFmtId="0" fontId="17" fillId="8" borderId="9" xfId="0" applyFont="1" applyFill="1" applyBorder="1" applyAlignment="1">
      <alignment horizontal="center"/>
    </xf>
    <xf numFmtId="0" fontId="18" fillId="8" borderId="9" xfId="0" applyFont="1" applyFill="1" applyBorder="1" applyAlignment="1">
      <alignment horizontal="right" vertical="center"/>
    </xf>
    <xf numFmtId="166" fontId="18" fillId="8" borderId="38" xfId="0" applyNumberFormat="1" applyFont="1" applyFill="1" applyBorder="1" applyAlignment="1">
      <alignment horizontal="center"/>
    </xf>
    <xf numFmtId="0" fontId="18" fillId="8" borderId="50" xfId="0" applyFont="1" applyFill="1" applyBorder="1" applyAlignment="1">
      <alignment horizontal="center"/>
    </xf>
    <xf numFmtId="0" fontId="13" fillId="10" borderId="38" xfId="0" applyFont="1" applyFill="1" applyBorder="1" applyAlignment="1">
      <alignment horizontal="center" vertical="center"/>
    </xf>
    <xf numFmtId="0" fontId="13" fillId="10" borderId="39" xfId="0" applyFont="1" applyFill="1" applyBorder="1" applyAlignment="1">
      <alignment horizontal="center" vertical="center"/>
    </xf>
    <xf numFmtId="0" fontId="13" fillId="10" borderId="50" xfId="0" applyFont="1" applyFill="1" applyBorder="1" applyAlignment="1">
      <alignment horizontal="center" vertical="center"/>
    </xf>
    <xf numFmtId="0" fontId="13" fillId="8" borderId="38" xfId="0" applyFont="1" applyFill="1" applyBorder="1" applyAlignment="1">
      <alignment horizontal="center" vertical="center" wrapText="1"/>
    </xf>
    <xf numFmtId="0" fontId="13" fillId="8" borderId="39" xfId="0" applyFont="1" applyFill="1" applyBorder="1" applyAlignment="1">
      <alignment horizontal="center" vertical="center" wrapText="1"/>
    </xf>
    <xf numFmtId="0" fontId="13" fillId="8" borderId="50" xfId="0" applyFont="1" applyFill="1" applyBorder="1" applyAlignment="1">
      <alignment horizontal="center" vertical="center" wrapText="1"/>
    </xf>
    <xf numFmtId="166" fontId="16" fillId="4" borderId="38" xfId="3" applyFont="1" applyFill="1" applyBorder="1" applyAlignment="1" applyProtection="1">
      <alignment horizontal="center" vertical="center"/>
    </xf>
    <xf numFmtId="166" fontId="16" fillId="4" borderId="39" xfId="3" applyFont="1" applyFill="1" applyBorder="1" applyAlignment="1" applyProtection="1">
      <alignment horizontal="center" vertical="center"/>
    </xf>
    <xf numFmtId="166" fontId="16" fillId="4" borderId="50" xfId="3" applyFont="1" applyFill="1" applyBorder="1" applyAlignment="1" applyProtection="1">
      <alignment horizontal="center" vertical="center"/>
    </xf>
    <xf numFmtId="166" fontId="16" fillId="0" borderId="38" xfId="3" applyFont="1" applyBorder="1" applyAlignment="1" applyProtection="1">
      <alignment horizontal="center" vertical="center"/>
    </xf>
    <xf numFmtId="166" fontId="16" fillId="0" borderId="50" xfId="3" applyFont="1" applyBorder="1" applyAlignment="1" applyProtection="1">
      <alignment horizontal="center" vertical="center"/>
    </xf>
    <xf numFmtId="166" fontId="16" fillId="9" borderId="38" xfId="3" applyFont="1" applyFill="1" applyBorder="1" applyAlignment="1" applyProtection="1">
      <alignment horizontal="center" vertical="center"/>
      <protection locked="0"/>
    </xf>
    <xf numFmtId="166" fontId="16" fillId="9" borderId="39" xfId="3" applyFont="1" applyFill="1" applyBorder="1" applyAlignment="1" applyProtection="1">
      <alignment horizontal="center" vertical="center"/>
      <protection locked="0"/>
    </xf>
    <xf numFmtId="166" fontId="16" fillId="9" borderId="50" xfId="3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16" fillId="0" borderId="38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2" fillId="4" borderId="33" xfId="0" applyFont="1" applyFill="1" applyBorder="1" applyAlignment="1">
      <alignment horizontal="center"/>
    </xf>
    <xf numFmtId="0" fontId="2" fillId="4" borderId="6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66" fontId="4" fillId="4" borderId="8" xfId="3" applyFont="1" applyFill="1" applyBorder="1" applyAlignment="1">
      <alignment horizontal="center" vertical="center"/>
    </xf>
    <xf numFmtId="166" fontId="4" fillId="4" borderId="5" xfId="3" applyFont="1" applyFill="1" applyBorder="1" applyAlignment="1">
      <alignment horizontal="center" vertical="center"/>
    </xf>
    <xf numFmtId="0" fontId="4" fillId="7" borderId="48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166" fontId="3" fillId="10" borderId="40" xfId="3" applyFont="1" applyFill="1" applyBorder="1" applyAlignment="1">
      <alignment horizontal="center" vertical="center"/>
    </xf>
    <xf numFmtId="166" fontId="3" fillId="10" borderId="61" xfId="3" applyFont="1" applyFill="1" applyBorder="1" applyAlignment="1">
      <alignment horizontal="center" vertical="center"/>
    </xf>
    <xf numFmtId="166" fontId="3" fillId="10" borderId="41" xfId="3" applyFont="1" applyFill="1" applyBorder="1" applyAlignment="1">
      <alignment horizontal="center" vertical="center"/>
    </xf>
    <xf numFmtId="166" fontId="3" fillId="10" borderId="38" xfId="3" applyFont="1" applyFill="1" applyBorder="1" applyAlignment="1">
      <alignment horizontal="center" vertical="center"/>
    </xf>
    <xf numFmtId="166" fontId="3" fillId="10" borderId="39" xfId="3" applyFont="1" applyFill="1" applyBorder="1" applyAlignment="1">
      <alignment horizontal="center" vertical="center"/>
    </xf>
    <xf numFmtId="166" fontId="3" fillId="10" borderId="50" xfId="3" applyFont="1" applyFill="1" applyBorder="1" applyAlignment="1">
      <alignment horizontal="center" vertical="center"/>
    </xf>
    <xf numFmtId="166" fontId="3" fillId="10" borderId="24" xfId="3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10" fontId="6" fillId="3" borderId="46" xfId="1" applyNumberFormat="1" applyFont="1" applyFill="1" applyBorder="1" applyAlignment="1" applyProtection="1">
      <alignment horizontal="center" vertical="center"/>
      <protection locked="0"/>
    </xf>
    <xf numFmtId="10" fontId="6" fillId="3" borderId="37" xfId="1" applyNumberFormat="1" applyFont="1" applyFill="1" applyBorder="1" applyAlignment="1" applyProtection="1">
      <alignment horizontal="center" vertical="center"/>
      <protection locked="0"/>
    </xf>
  </cellXfs>
  <cellStyles count="4">
    <cellStyle name="Moeda" xfId="3" builtinId="4"/>
    <cellStyle name="Normal" xfId="0" builtinId="0"/>
    <cellStyle name="Porcentagem" xfId="1" builtinId="5"/>
    <cellStyle name="Vírgula" xfId="2" builtinId="3"/>
  </cellStyles>
  <dxfs count="2">
    <dxf>
      <font>
        <color theme="0" tint="-0.499984740745262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D9D9D9"/>
      <color rgb="FF9BC2E6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e/Desktop/2.%20Levantamento%20de%20&#225;reas_v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. de cálc. brises e ACM"/>
      <sheetName val="Inputs - Prod. e Valores"/>
      <sheetName val="Resultados"/>
      <sheetName val="Pisos"/>
      <sheetName val="Pisos - Consolidado c. Serv."/>
      <sheetName val="Vidros"/>
      <sheetName val="Levantamento vidros-Suzana"/>
      <sheetName val="Brises"/>
      <sheetName val="ACM"/>
      <sheetName val="Postos - TR"/>
      <sheetName val="Elem. de fachada + Jard. - TR"/>
      <sheetName val="Áreas Int. e Ext. - Consolidado"/>
      <sheetName val="Elem. de fachada - Consolidado"/>
      <sheetName val="Jardins - Consolidado"/>
      <sheetName val="Planilha de Preços"/>
      <sheetName val="Dados URs"/>
      <sheetName val="Anexo X - Old"/>
      <sheetName val="Anexo A"/>
      <sheetName val="Editais anteriores"/>
      <sheetName val="Comparação"/>
      <sheetName val="Unif. e EPIs - AL e LV - TR"/>
      <sheetName val="Unif. e EPIs - AL. AC. - TR"/>
      <sheetName val="Unif. e EPIs - Jard. - TR"/>
      <sheetName val="Unif. e EPIs - AL e LV"/>
      <sheetName val="Unif. e EPIs - AL. AC."/>
      <sheetName val="Produtividade"/>
      <sheetName val="Valor unitário mensal"/>
      <sheetName val="Funcionários e custos"/>
      <sheetName val="Verificação TJSP"/>
      <sheetName val="UR-1 Pisos - Antigo"/>
      <sheetName val="Planilhas editais anteriores"/>
      <sheetName val="Mem. Calc. Custo Vidros Trim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5">
          <cell r="I15" t="str">
            <v>Foto_UR_2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P55"/>
  <sheetViews>
    <sheetView tabSelected="1" topLeftCell="A14" zoomScaleNormal="100" workbookViewId="0">
      <selection activeCell="D31" sqref="D31:E31"/>
    </sheetView>
  </sheetViews>
  <sheetFormatPr defaultColWidth="9.109375" defaultRowHeight="15" customHeight="1" x14ac:dyDescent="0.3"/>
  <cols>
    <col min="1" max="1" width="2.109375" style="118" customWidth="1"/>
    <col min="2" max="2" width="48.44140625" style="118" bestFit="1" customWidth="1"/>
    <col min="3" max="3" width="19" style="118" bestFit="1" customWidth="1"/>
    <col min="4" max="5" width="16.5546875" style="118" customWidth="1"/>
    <col min="6" max="7" width="22.5546875" style="118" customWidth="1"/>
    <col min="8" max="8" width="5.5546875" style="118" customWidth="1"/>
    <col min="9" max="9" width="19.44140625" style="118" customWidth="1"/>
    <col min="10" max="10" width="23.109375" style="17" customWidth="1"/>
    <col min="11" max="11" width="13.5546875" style="118" bestFit="1" customWidth="1"/>
    <col min="12" max="12" width="9.88671875" style="118" bestFit="1" customWidth="1"/>
    <col min="13" max="13" width="10.5546875" style="118" bestFit="1" customWidth="1"/>
    <col min="14" max="14" width="7.5546875" style="118" bestFit="1" customWidth="1"/>
    <col min="15" max="16384" width="9.109375" style="118"/>
  </cols>
  <sheetData>
    <row r="1" spans="2:16" ht="15" customHeight="1" thickBot="1" x14ac:dyDescent="0.35">
      <c r="B1" s="117"/>
      <c r="C1" s="117"/>
    </row>
    <row r="2" spans="2:16" ht="18" customHeight="1" thickBot="1" x14ac:dyDescent="0.35">
      <c r="B2" s="185" t="s">
        <v>0</v>
      </c>
      <c r="C2" s="186"/>
      <c r="D2" s="186"/>
      <c r="E2" s="186"/>
      <c r="F2" s="187"/>
    </row>
    <row r="3" spans="2:16" ht="39" customHeight="1" thickBot="1" x14ac:dyDescent="0.35">
      <c r="B3" s="188" t="s">
        <v>1</v>
      </c>
      <c r="C3" s="189"/>
      <c r="D3" s="189"/>
      <c r="E3" s="189"/>
      <c r="F3" s="190"/>
    </row>
    <row r="4" spans="2:16" ht="18" customHeight="1" thickBot="1" x14ac:dyDescent="0.35">
      <c r="B4" s="119"/>
      <c r="H4" s="17"/>
    </row>
    <row r="5" spans="2:16" ht="18" customHeight="1" thickBot="1" x14ac:dyDescent="0.35">
      <c r="B5" s="185" t="s">
        <v>2</v>
      </c>
      <c r="C5" s="186"/>
      <c r="D5" s="186"/>
      <c r="E5" s="186"/>
      <c r="F5" s="187"/>
    </row>
    <row r="6" spans="2:16" ht="18" customHeight="1" x14ac:dyDescent="0.3">
      <c r="B6" s="120" t="s">
        <v>3</v>
      </c>
      <c r="C6" s="201"/>
      <c r="D6" s="202"/>
      <c r="E6" s="202"/>
      <c r="F6" s="203"/>
    </row>
    <row r="7" spans="2:16" ht="15" customHeight="1" x14ac:dyDescent="0.3">
      <c r="B7" s="121" t="s">
        <v>4</v>
      </c>
      <c r="C7" s="196"/>
      <c r="D7" s="196"/>
      <c r="E7" s="196"/>
      <c r="F7" s="197"/>
      <c r="P7" s="122"/>
    </row>
    <row r="8" spans="2:16" ht="15" customHeight="1" x14ac:dyDescent="0.3">
      <c r="B8" s="121" t="s">
        <v>5</v>
      </c>
      <c r="C8" s="196"/>
      <c r="D8" s="196"/>
      <c r="E8" s="196"/>
      <c r="F8" s="197"/>
      <c r="P8" s="122"/>
    </row>
    <row r="9" spans="2:16" ht="15" customHeight="1" x14ac:dyDescent="0.3">
      <c r="B9" s="121" t="s">
        <v>6</v>
      </c>
      <c r="C9" s="196"/>
      <c r="D9" s="196"/>
      <c r="E9" s="196"/>
      <c r="F9" s="197"/>
      <c r="P9" s="122"/>
    </row>
    <row r="10" spans="2:16" ht="15" customHeight="1" x14ac:dyDescent="0.3">
      <c r="B10" s="121" t="s">
        <v>7</v>
      </c>
      <c r="C10" s="196"/>
      <c r="D10" s="196"/>
      <c r="E10" s="196"/>
      <c r="F10" s="197"/>
    </row>
    <row r="11" spans="2:16" ht="15" customHeight="1" x14ac:dyDescent="0.3">
      <c r="B11" s="121" t="s">
        <v>8</v>
      </c>
      <c r="C11" s="196"/>
      <c r="D11" s="196"/>
      <c r="E11" s="196"/>
      <c r="F11" s="197"/>
      <c r="J11" s="123"/>
    </row>
    <row r="12" spans="2:16" ht="15" customHeight="1" x14ac:dyDescent="0.3">
      <c r="B12" s="121" t="s">
        <v>9</v>
      </c>
      <c r="C12" s="193"/>
      <c r="D12" s="194"/>
      <c r="E12" s="194"/>
      <c r="F12" s="195"/>
      <c r="J12" s="123"/>
    </row>
    <row r="13" spans="2:16" ht="15" customHeight="1" x14ac:dyDescent="0.3">
      <c r="B13" s="6" t="s">
        <v>10</v>
      </c>
      <c r="C13" s="193"/>
      <c r="D13" s="194"/>
      <c r="E13" s="194"/>
      <c r="F13" s="195"/>
      <c r="J13" s="123"/>
    </row>
    <row r="14" spans="2:16" ht="15" customHeight="1" x14ac:dyDescent="0.3">
      <c r="B14" s="6" t="s">
        <v>11</v>
      </c>
      <c r="C14" s="196"/>
      <c r="D14" s="196"/>
      <c r="E14" s="196"/>
      <c r="F14" s="197"/>
    </row>
    <row r="15" spans="2:16" ht="15" customHeight="1" x14ac:dyDescent="0.3">
      <c r="B15" s="6" t="s">
        <v>12</v>
      </c>
      <c r="C15" s="196"/>
      <c r="D15" s="196"/>
      <c r="E15" s="196"/>
      <c r="F15" s="197"/>
    </row>
    <row r="16" spans="2:16" ht="15" customHeight="1" x14ac:dyDescent="0.3">
      <c r="B16" s="121" t="s">
        <v>13</v>
      </c>
      <c r="C16" s="196" t="s">
        <v>162</v>
      </c>
      <c r="D16" s="196"/>
      <c r="E16" s="196"/>
      <c r="F16" s="197"/>
    </row>
    <row r="17" spans="2:16" ht="15" customHeight="1" x14ac:dyDescent="0.3">
      <c r="B17" s="124" t="s">
        <v>14</v>
      </c>
      <c r="C17" s="198"/>
      <c r="D17" s="199"/>
      <c r="E17" s="199"/>
      <c r="F17" s="200"/>
    </row>
    <row r="18" spans="2:16" ht="15" customHeight="1" x14ac:dyDescent="0.3">
      <c r="B18" s="125" t="s">
        <v>15</v>
      </c>
      <c r="C18" s="204"/>
      <c r="D18" s="204"/>
      <c r="E18" s="204"/>
      <c r="F18" s="205"/>
    </row>
    <row r="19" spans="2:16" ht="15" customHeight="1" thickBot="1" x14ac:dyDescent="0.35">
      <c r="B19" s="126" t="s">
        <v>16</v>
      </c>
      <c r="C19" s="191" t="s">
        <v>163</v>
      </c>
      <c r="D19" s="191"/>
      <c r="E19" s="191"/>
      <c r="F19" s="192"/>
    </row>
    <row r="20" spans="2:16" ht="15" customHeight="1" thickBot="1" x14ac:dyDescent="0.35"/>
    <row r="21" spans="2:16" ht="15" customHeight="1" thickBot="1" x14ac:dyDescent="0.35">
      <c r="B21" s="175" t="s">
        <v>17</v>
      </c>
      <c r="C21" s="176"/>
      <c r="D21" s="176"/>
      <c r="E21" s="177"/>
    </row>
    <row r="22" spans="2:16" ht="15" customHeight="1" thickBot="1" x14ac:dyDescent="0.35">
      <c r="B22" s="127" t="s">
        <v>18</v>
      </c>
      <c r="C22" s="128" t="s">
        <v>19</v>
      </c>
      <c r="D22" s="129" t="s">
        <v>20</v>
      </c>
      <c r="E22" s="130" t="s">
        <v>21</v>
      </c>
    </row>
    <row r="23" spans="2:16" ht="30" customHeight="1" x14ac:dyDescent="0.3">
      <c r="B23" s="209" t="s">
        <v>22</v>
      </c>
      <c r="C23" s="131" t="s">
        <v>23</v>
      </c>
      <c r="D23" s="142"/>
      <c r="E23" s="178">
        <f>SUM(D23:D24)</f>
        <v>0</v>
      </c>
      <c r="J23" s="132"/>
    </row>
    <row r="24" spans="2:16" ht="30" customHeight="1" thickBot="1" x14ac:dyDescent="0.35">
      <c r="B24" s="181"/>
      <c r="C24" s="133" t="s">
        <v>24</v>
      </c>
      <c r="D24" s="143"/>
      <c r="E24" s="179"/>
    </row>
    <row r="25" spans="2:16" ht="30" customHeight="1" thickBot="1" x14ac:dyDescent="0.35">
      <c r="B25" s="134" t="s">
        <v>25</v>
      </c>
      <c r="C25" s="135" t="s">
        <v>26</v>
      </c>
      <c r="D25" s="144"/>
      <c r="E25" s="10">
        <f>D25</f>
        <v>0</v>
      </c>
      <c r="I25" s="2"/>
      <c r="J25" s="2"/>
      <c r="K25" s="2"/>
    </row>
    <row r="26" spans="2:16" ht="30" customHeight="1" x14ac:dyDescent="0.3">
      <c r="B26" s="180" t="s">
        <v>27</v>
      </c>
      <c r="C26" s="131" t="s">
        <v>28</v>
      </c>
      <c r="D26" s="145"/>
      <c r="E26" s="206">
        <f>SUM(D26:D27)</f>
        <v>0</v>
      </c>
      <c r="I26" s="2"/>
      <c r="J26" s="2"/>
      <c r="K26" s="2"/>
    </row>
    <row r="27" spans="2:16" ht="47.4" customHeight="1" thickBot="1" x14ac:dyDescent="0.35">
      <c r="B27" s="181"/>
      <c r="C27" s="133" t="s">
        <v>29</v>
      </c>
      <c r="D27" s="143"/>
      <c r="E27" s="179"/>
      <c r="I27" s="2"/>
      <c r="J27" s="2"/>
      <c r="K27" s="2"/>
    </row>
    <row r="28" spans="2:16" ht="15" customHeight="1" thickBot="1" x14ac:dyDescent="0.35">
      <c r="I28" s="2"/>
      <c r="J28" s="2"/>
      <c r="K28" s="2"/>
      <c r="M28" s="122"/>
      <c r="P28" s="122"/>
    </row>
    <row r="29" spans="2:16" ht="15" customHeight="1" thickBot="1" x14ac:dyDescent="0.35">
      <c r="B29" s="182" t="s">
        <v>30</v>
      </c>
      <c r="C29" s="183"/>
      <c r="D29" s="183"/>
      <c r="E29" s="183"/>
      <c r="F29" s="184"/>
      <c r="I29" s="2"/>
      <c r="J29" s="2"/>
      <c r="K29" s="2"/>
      <c r="M29" s="122"/>
      <c r="P29" s="122"/>
    </row>
    <row r="30" spans="2:16" ht="15" customHeight="1" thickBot="1" x14ac:dyDescent="0.35">
      <c r="B30" s="136" t="s">
        <v>31</v>
      </c>
      <c r="C30" s="137" t="s">
        <v>32</v>
      </c>
      <c r="D30" s="207" t="s">
        <v>33</v>
      </c>
      <c r="E30" s="208"/>
      <c r="F30" s="138" t="s">
        <v>34</v>
      </c>
      <c r="I30" s="2"/>
      <c r="J30" s="2"/>
      <c r="K30" s="2"/>
      <c r="P30" s="122"/>
    </row>
    <row r="31" spans="2:16" ht="15" customHeight="1" thickBot="1" x14ac:dyDescent="0.35">
      <c r="B31" s="139" t="s">
        <v>35</v>
      </c>
      <c r="C31" s="146"/>
      <c r="D31" s="271"/>
      <c r="E31" s="272"/>
      <c r="F31" s="140">
        <f>(1+$E$23)*(1+$E$25)/(1-($D$26+$D$27+D31))-1</f>
        <v>0</v>
      </c>
      <c r="I31" s="2"/>
      <c r="J31" s="2"/>
      <c r="K31" s="2"/>
      <c r="P31" s="122"/>
    </row>
    <row r="33" spans="5:10" ht="15" customHeight="1" x14ac:dyDescent="0.3">
      <c r="E33" s="17"/>
      <c r="J33" s="118"/>
    </row>
    <row r="34" spans="5:10" ht="15" customHeight="1" x14ac:dyDescent="0.3">
      <c r="E34" s="17"/>
      <c r="J34" s="118"/>
    </row>
    <row r="35" spans="5:10" ht="15" customHeight="1" x14ac:dyDescent="0.3">
      <c r="E35" s="17"/>
      <c r="J35" s="118"/>
    </row>
    <row r="36" spans="5:10" ht="15" customHeight="1" x14ac:dyDescent="0.3">
      <c r="J36" s="118"/>
    </row>
    <row r="38" spans="5:10" ht="15" customHeight="1" x14ac:dyDescent="0.3">
      <c r="J38" s="118"/>
    </row>
    <row r="39" spans="5:10" ht="15" customHeight="1" x14ac:dyDescent="0.3">
      <c r="J39" s="118"/>
    </row>
    <row r="40" spans="5:10" ht="15" customHeight="1" x14ac:dyDescent="0.3">
      <c r="J40" s="118"/>
    </row>
    <row r="41" spans="5:10" ht="15" customHeight="1" x14ac:dyDescent="0.3">
      <c r="J41" s="118"/>
    </row>
    <row r="42" spans="5:10" ht="15" customHeight="1" x14ac:dyDescent="0.3">
      <c r="J42" s="118"/>
    </row>
    <row r="43" spans="5:10" ht="15" customHeight="1" x14ac:dyDescent="0.3">
      <c r="J43" s="118"/>
    </row>
    <row r="44" spans="5:10" ht="15" customHeight="1" x14ac:dyDescent="0.3">
      <c r="J44" s="118"/>
    </row>
    <row r="52" spans="10:10" ht="15" customHeight="1" x14ac:dyDescent="0.3">
      <c r="J52" s="118"/>
    </row>
    <row r="55" spans="10:10" ht="15" customHeight="1" x14ac:dyDescent="0.3">
      <c r="J55" s="118"/>
    </row>
  </sheetData>
  <sheetProtection algorithmName="SHA-512" hashValue="joybLFfTK2+7hLvcOpy/dX+YwlY7UdmYr8hcDXZHSPBQOnCvihJSjze2o5bR8Q2duDItZCNiflIG74+LwbFwuw==" saltValue="xDJ72fJ6Ca7QvSAZUJD+Ow==" spinCount="100000" sheet="1" objects="1" scenarios="1"/>
  <mergeCells count="25">
    <mergeCell ref="E26:E27"/>
    <mergeCell ref="D30:E30"/>
    <mergeCell ref="D31:E31"/>
    <mergeCell ref="B23:B24"/>
    <mergeCell ref="C6:F6"/>
    <mergeCell ref="C7:F7"/>
    <mergeCell ref="C8:F8"/>
    <mergeCell ref="C9:F9"/>
    <mergeCell ref="C18:F18"/>
    <mergeCell ref="B21:E21"/>
    <mergeCell ref="E23:E24"/>
    <mergeCell ref="B26:B27"/>
    <mergeCell ref="B29:F29"/>
    <mergeCell ref="B2:F2"/>
    <mergeCell ref="B3:F3"/>
    <mergeCell ref="C19:F19"/>
    <mergeCell ref="C12:F12"/>
    <mergeCell ref="C13:F13"/>
    <mergeCell ref="C10:F10"/>
    <mergeCell ref="C11:F11"/>
    <mergeCell ref="C16:F16"/>
    <mergeCell ref="C17:F17"/>
    <mergeCell ref="C14:F14"/>
    <mergeCell ref="C15:F15"/>
    <mergeCell ref="B5:F5"/>
  </mergeCells>
  <phoneticPr fontId="8" type="noConversion"/>
  <conditionalFormatting sqref="C17:C18">
    <cfRule type="expression" dxfId="1" priority="2">
      <formula>$C$16&lt;&gt;"Simples Nacional"</formula>
    </cfRule>
  </conditionalFormatting>
  <conditionalFormatting sqref="C19">
    <cfRule type="expression" dxfId="0" priority="1">
      <formula>$C$16&lt;&gt;"Lucro real - Incidência cumulativa de PIS e COFINS"</formula>
    </cfRule>
  </conditionalFormatting>
  <dataValidations count="5">
    <dataValidation type="list" allowBlank="1" showInputMessage="1" showErrorMessage="1" sqref="C16" xr:uid="{F3316BC4-9CDE-4578-A8AC-DE44DE9D068A}">
      <formula1>"Simples Nacional,Lucro presumido - Incidência cumulativa de PIS e COFINS,Lucro real - Incidência cumulativa de PIS e COFINS,"</formula1>
    </dataValidation>
    <dataValidation type="list" allowBlank="1" showInputMessage="1" showErrorMessage="1" sqref="C19:F19" xr:uid="{44DD49B0-1D3B-4215-8909-8671C9D3D233}">
      <formula1>"Sim,Não"</formula1>
    </dataValidation>
    <dataValidation type="decimal" allowBlank="1" showInputMessage="1" showErrorMessage="1" sqref="C13:F13" xr:uid="{A81FD9D4-FB97-43BE-BB9B-58B1596E2EF8}">
      <formula1>0.5</formula1>
      <formula2>2</formula2>
    </dataValidation>
    <dataValidation type="decimal" allowBlank="1" showInputMessage="1" showErrorMessage="1" sqref="C17:F17" xr:uid="{6C37BE38-ECCF-427B-8B33-7EEED898C8E2}">
      <formula1>0.01</formula1>
      <formula2>4800000</formula2>
    </dataValidation>
    <dataValidation type="list" operator="equal" allowBlank="1" showInputMessage="1" showErrorMessage="1" sqref="C12:F12" xr:uid="{43E0046F-5D03-489A-A2B7-62A2818E5E92}">
      <mc:AlternateContent xmlns:x12ac="http://schemas.microsoft.com/office/spreadsheetml/2011/1/ac" xmlns:mc="http://schemas.openxmlformats.org/markup-compatibility/2006">
        <mc:Choice Requires="x12ac">
          <x12ac:list>"1,00","2,00","3,00"</x12ac:list>
        </mc:Choice>
        <mc:Fallback>
          <formula1>"1,00,2,00,3,00"</formula1>
        </mc:Fallback>
      </mc:AlternateContent>
    </dataValidation>
  </dataValidations>
  <printOptions horizontalCentered="1" verticalCentered="1"/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22591-8B5A-4425-8A5F-5CBA9D42FBBF}">
  <sheetPr codeName="Planilha1"/>
  <dimension ref="A1:C49"/>
  <sheetViews>
    <sheetView showGridLines="0" topLeftCell="A26" workbookViewId="0">
      <selection activeCell="B2" sqref="B2:C2"/>
    </sheetView>
  </sheetViews>
  <sheetFormatPr defaultColWidth="8.6640625" defaultRowHeight="14.4" x14ac:dyDescent="0.3"/>
  <cols>
    <col min="1" max="1" width="2.44140625" customWidth="1"/>
    <col min="2" max="2" width="50.5546875" customWidth="1"/>
    <col min="3" max="3" width="30.88671875" customWidth="1"/>
  </cols>
  <sheetData>
    <row r="1" spans="1:3" ht="15" thickBot="1" x14ac:dyDescent="0.35">
      <c r="A1" s="19"/>
      <c r="B1" s="19"/>
      <c r="C1" s="19"/>
    </row>
    <row r="2" spans="1:3" ht="15" thickBot="1" x14ac:dyDescent="0.35">
      <c r="A2" s="19"/>
      <c r="B2" s="185" t="s">
        <v>0</v>
      </c>
      <c r="C2" s="187"/>
    </row>
    <row r="3" spans="1:3" ht="55.65" customHeight="1" thickBot="1" x14ac:dyDescent="0.35">
      <c r="A3" s="19"/>
      <c r="B3" s="188" t="s">
        <v>36</v>
      </c>
      <c r="C3" s="190"/>
    </row>
    <row r="4" spans="1:3" ht="15" thickBot="1" x14ac:dyDescent="0.35">
      <c r="A4" s="19"/>
      <c r="B4" s="19"/>
      <c r="C4" s="19"/>
    </row>
    <row r="5" spans="1:3" x14ac:dyDescent="0.3">
      <c r="A5" s="19"/>
      <c r="B5" s="116" t="s">
        <v>37</v>
      </c>
      <c r="C5" s="21" t="s">
        <v>35</v>
      </c>
    </row>
    <row r="6" spans="1:3" x14ac:dyDescent="0.3">
      <c r="A6" s="19"/>
      <c r="B6" s="148" t="s">
        <v>38</v>
      </c>
      <c r="C6" s="28">
        <v>20.68</v>
      </c>
    </row>
    <row r="7" spans="1:3" ht="15" thickBot="1" x14ac:dyDescent="0.35">
      <c r="A7" s="19"/>
      <c r="B7" s="149" t="s">
        <v>39</v>
      </c>
      <c r="C7" s="22">
        <v>60</v>
      </c>
    </row>
    <row r="8" spans="1:3" ht="15" thickBot="1" x14ac:dyDescent="0.35">
      <c r="A8" s="19"/>
      <c r="B8" s="17"/>
      <c r="C8" s="2"/>
    </row>
    <row r="9" spans="1:3" ht="15" thickBot="1" x14ac:dyDescent="0.35">
      <c r="A9" s="19"/>
      <c r="B9" s="17"/>
      <c r="C9" s="150" t="s">
        <v>40</v>
      </c>
    </row>
    <row r="10" spans="1:3" ht="24.6" customHeight="1" thickBot="1" x14ac:dyDescent="0.35">
      <c r="A10" s="19"/>
      <c r="B10" s="3"/>
      <c r="C10" s="151" t="s">
        <v>118</v>
      </c>
    </row>
    <row r="11" spans="1:3" x14ac:dyDescent="0.3">
      <c r="A11" s="19"/>
      <c r="B11" s="152" t="s">
        <v>41</v>
      </c>
      <c r="C11" s="29">
        <f>SUM(C12,C13,C14)</f>
        <v>0</v>
      </c>
    </row>
    <row r="12" spans="1:3" x14ac:dyDescent="0.3">
      <c r="A12" s="19"/>
      <c r="B12" s="153" t="s">
        <v>42</v>
      </c>
      <c r="C12" s="170"/>
    </row>
    <row r="13" spans="1:3" x14ac:dyDescent="0.3">
      <c r="A13" s="19"/>
      <c r="B13" s="153" t="s">
        <v>119</v>
      </c>
      <c r="C13" s="171"/>
    </row>
    <row r="14" spans="1:3" x14ac:dyDescent="0.3">
      <c r="A14" s="19"/>
      <c r="B14" s="153" t="s">
        <v>164</v>
      </c>
      <c r="C14" s="171"/>
    </row>
    <row r="15" spans="1:3" x14ac:dyDescent="0.3">
      <c r="A15" s="19"/>
      <c r="B15" s="147" t="s">
        <v>166</v>
      </c>
      <c r="C15" s="154"/>
    </row>
    <row r="16" spans="1:3" x14ac:dyDescent="0.3">
      <c r="A16" s="19"/>
      <c r="B16" s="153"/>
      <c r="C16" s="30"/>
    </row>
    <row r="17" spans="1:3" x14ac:dyDescent="0.3">
      <c r="A17" s="19"/>
      <c r="B17" s="155" t="s">
        <v>43</v>
      </c>
      <c r="C17" s="31">
        <f>C18+C22+C27+C30+C31</f>
        <v>0</v>
      </c>
    </row>
    <row r="18" spans="1:3" x14ac:dyDescent="0.3">
      <c r="A18" s="19"/>
      <c r="B18" s="156" t="s">
        <v>32</v>
      </c>
      <c r="C18" s="32">
        <f>C19-C20+C21</f>
        <v>0</v>
      </c>
    </row>
    <row r="19" spans="1:3" x14ac:dyDescent="0.3">
      <c r="A19" s="19"/>
      <c r="B19" s="157" t="s">
        <v>44</v>
      </c>
      <c r="C19" s="154">
        <f>ROUND('Dados da Empresa'!C31*'Dados de Custos'!C6*2,2)</f>
        <v>0</v>
      </c>
    </row>
    <row r="20" spans="1:3" x14ac:dyDescent="0.3">
      <c r="A20" s="19"/>
      <c r="B20" s="157" t="s">
        <v>45</v>
      </c>
      <c r="C20" s="33">
        <f>ROUND(C12*0.06,2)</f>
        <v>0</v>
      </c>
    </row>
    <row r="21" spans="1:3" x14ac:dyDescent="0.3">
      <c r="A21" s="19"/>
      <c r="B21" s="158" t="s">
        <v>46</v>
      </c>
      <c r="C21" s="33">
        <f>IF(AND('Dados da Empresa'!$C$16="Lucro real - Incidência cumulativa de PIS e COFINS",'Dados da Empresa'!C19="Sim"),-ROUND((C19+C20)*0.0925,2),0)</f>
        <v>0</v>
      </c>
    </row>
    <row r="22" spans="1:3" x14ac:dyDescent="0.3">
      <c r="A22" s="19"/>
      <c r="B22" s="156" t="s">
        <v>47</v>
      </c>
      <c r="C22" s="32">
        <f>ROUND(C23*$C$6,2)+C26</f>
        <v>0</v>
      </c>
    </row>
    <row r="23" spans="1:3" x14ac:dyDescent="0.3">
      <c r="A23" s="19"/>
      <c r="B23" s="158" t="s">
        <v>48</v>
      </c>
      <c r="C23" s="33">
        <f>C24-C25+C26</f>
        <v>0</v>
      </c>
    </row>
    <row r="24" spans="1:3" x14ac:dyDescent="0.3">
      <c r="A24" s="19"/>
      <c r="B24" s="159" t="s">
        <v>49</v>
      </c>
      <c r="C24" s="172"/>
    </row>
    <row r="25" spans="1:3" x14ac:dyDescent="0.3">
      <c r="A25" s="19"/>
      <c r="B25" s="159" t="s">
        <v>50</v>
      </c>
      <c r="C25" s="172"/>
    </row>
    <row r="26" spans="1:3" x14ac:dyDescent="0.3">
      <c r="A26" s="19"/>
      <c r="B26" s="158" t="s">
        <v>46</v>
      </c>
      <c r="C26" s="33">
        <f>IF(AND('Dados da Empresa'!$C$16="Lucro real - Incidência cumulativa de PIS e COFINS",'Dados da Empresa'!C19="Sim"),-ROUND((C24*$C$6+C25*$C$6+#REF!)*0.0925,2),0)</f>
        <v>0</v>
      </c>
    </row>
    <row r="27" spans="1:3" x14ac:dyDescent="0.3">
      <c r="A27" s="19"/>
      <c r="B27" s="156" t="s">
        <v>120</v>
      </c>
      <c r="C27" s="32">
        <f>C28+C29</f>
        <v>0</v>
      </c>
    </row>
    <row r="28" spans="1:3" x14ac:dyDescent="0.3">
      <c r="A28" s="19"/>
      <c r="B28" s="158" t="s">
        <v>51</v>
      </c>
      <c r="C28" s="172"/>
    </row>
    <row r="29" spans="1:3" x14ac:dyDescent="0.3">
      <c r="A29" s="19"/>
      <c r="B29" s="158" t="s">
        <v>46</v>
      </c>
      <c r="C29" s="33">
        <f>IF(AND('Dados da Empresa'!$C$16="Lucro real - Incidência cumulativa de PIS e COFINS",'Dados da Empresa'!C19="Sim"),-ROUND(C28*0.0925,2),0)</f>
        <v>0</v>
      </c>
    </row>
    <row r="30" spans="1:3" x14ac:dyDescent="0.3">
      <c r="A30" s="19"/>
      <c r="B30" s="156" t="s">
        <v>52</v>
      </c>
      <c r="C30" s="173"/>
    </row>
    <row r="31" spans="1:3" x14ac:dyDescent="0.3">
      <c r="A31" s="19"/>
      <c r="B31" s="156" t="s">
        <v>165</v>
      </c>
      <c r="C31" s="173"/>
    </row>
    <row r="32" spans="1:3" x14ac:dyDescent="0.3">
      <c r="A32" s="19"/>
      <c r="B32" s="147" t="s">
        <v>167</v>
      </c>
      <c r="C32" s="32"/>
    </row>
    <row r="33" spans="1:3" x14ac:dyDescent="0.3">
      <c r="A33" s="19"/>
      <c r="B33" s="160"/>
      <c r="C33" s="34"/>
    </row>
    <row r="34" spans="1:3" x14ac:dyDescent="0.3">
      <c r="A34" s="19"/>
      <c r="B34" s="161" t="s">
        <v>53</v>
      </c>
      <c r="C34" s="31">
        <f>C35+C37</f>
        <v>0</v>
      </c>
    </row>
    <row r="35" spans="1:3" x14ac:dyDescent="0.3">
      <c r="A35" s="19"/>
      <c r="B35" s="156" t="s">
        <v>54</v>
      </c>
      <c r="C35" s="162">
        <f>C36+C37</f>
        <v>0</v>
      </c>
    </row>
    <row r="36" spans="1:3" x14ac:dyDescent="0.3">
      <c r="A36" s="19"/>
      <c r="B36" s="163" t="s">
        <v>44</v>
      </c>
      <c r="C36" s="172"/>
    </row>
    <row r="37" spans="1:3" x14ac:dyDescent="0.3">
      <c r="A37" s="19"/>
      <c r="B37" s="158" t="s">
        <v>46</v>
      </c>
      <c r="C37" s="33">
        <f>IF(AND('Dados da Empresa'!$C$16="Lucro real - Incidência cumulativa de PIS e COFINS",'Dados da Empresa'!C19="Sim"),-ROUND(C36*0.0925,2),0)</f>
        <v>0</v>
      </c>
    </row>
    <row r="38" spans="1:3" x14ac:dyDescent="0.3">
      <c r="A38" s="19"/>
      <c r="B38" s="1"/>
      <c r="C38" s="35"/>
    </row>
    <row r="39" spans="1:3" x14ac:dyDescent="0.3">
      <c r="A39" s="19"/>
      <c r="B39" s="161" t="s">
        <v>55</v>
      </c>
      <c r="C39" s="36">
        <f>C11*C40</f>
        <v>0</v>
      </c>
    </row>
    <row r="40" spans="1:3" x14ac:dyDescent="0.3">
      <c r="A40" s="19"/>
      <c r="B40" s="160" t="s">
        <v>56</v>
      </c>
      <c r="C40" s="37">
        <f>'Encargos sociais'!C41</f>
        <v>0.64183000000000012</v>
      </c>
    </row>
    <row r="41" spans="1:3" x14ac:dyDescent="0.3">
      <c r="A41" s="19"/>
      <c r="B41" s="157"/>
      <c r="C41" s="38"/>
    </row>
    <row r="42" spans="1:3" x14ac:dyDescent="0.3">
      <c r="A42" s="19"/>
      <c r="B42" s="155" t="s">
        <v>57</v>
      </c>
      <c r="C42" s="36">
        <f>ROUND((C39+C34+C17+C11)*C43,2)</f>
        <v>0</v>
      </c>
    </row>
    <row r="43" spans="1:3" x14ac:dyDescent="0.3">
      <c r="A43" s="19"/>
      <c r="B43" s="164" t="s">
        <v>58</v>
      </c>
      <c r="C43" s="37">
        <f>VLOOKUP($C$5,'Dados da Empresa'!$B$30:$F$31,5,FALSE)</f>
        <v>0</v>
      </c>
    </row>
    <row r="44" spans="1:3" ht="15" thickBot="1" x14ac:dyDescent="0.35">
      <c r="A44" s="19"/>
      <c r="B44" s="165"/>
      <c r="C44" s="39"/>
    </row>
    <row r="45" spans="1:3" ht="15.6" thickTop="1" thickBot="1" x14ac:dyDescent="0.35">
      <c r="A45" s="19"/>
      <c r="B45" s="166" t="s">
        <v>59</v>
      </c>
      <c r="C45" s="40">
        <f>C42+C39+C34+C17+C11</f>
        <v>0</v>
      </c>
    </row>
    <row r="46" spans="1:3" ht="15" thickBot="1" x14ac:dyDescent="0.35">
      <c r="A46" s="19"/>
      <c r="B46" s="167"/>
      <c r="C46" s="168"/>
    </row>
    <row r="47" spans="1:3" ht="15" thickBot="1" x14ac:dyDescent="0.35">
      <c r="A47" s="19"/>
      <c r="B47" s="169" t="s">
        <v>60</v>
      </c>
      <c r="C47" s="50">
        <f>ROUND(C45/$C$6,2)</f>
        <v>0</v>
      </c>
    </row>
    <row r="48" spans="1:3" ht="15" thickBot="1" x14ac:dyDescent="0.35"/>
    <row r="49" spans="2:3" ht="15" thickBot="1" x14ac:dyDescent="0.35">
      <c r="B49" s="169" t="s">
        <v>161</v>
      </c>
      <c r="C49" s="50">
        <f>(C45/220)*2</f>
        <v>0</v>
      </c>
    </row>
  </sheetData>
  <sheetProtection algorithmName="SHA-512" hashValue="4fuFXw9ke07CHIJcBHQfv2C4poWm0Yd3YIUw0tQzkMF4wNvJ+KQ08dmlDut9bZqHvc02d6b9N3ujehHQdfPfmQ==" saltValue="E11AsewpumDuNZiHH7YFxQ==" spinCount="100000" sheet="1" objects="1" scenarios="1"/>
  <mergeCells count="2">
    <mergeCell ref="B2:C2"/>
    <mergeCell ref="B3:C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B1:C41"/>
  <sheetViews>
    <sheetView topLeftCell="A19" workbookViewId="0">
      <selection activeCell="B2" sqref="B2:C2"/>
    </sheetView>
  </sheetViews>
  <sheetFormatPr defaultColWidth="9.109375" defaultRowHeight="14.4" x14ac:dyDescent="0.3"/>
  <cols>
    <col min="1" max="1" width="2.88671875" style="2" customWidth="1"/>
    <col min="2" max="2" width="69.44140625" style="2" bestFit="1" customWidth="1"/>
    <col min="3" max="3" width="10.77734375" style="2" bestFit="1" customWidth="1"/>
    <col min="4" max="16384" width="9.109375" style="2"/>
  </cols>
  <sheetData>
    <row r="1" spans="2:3" ht="15" thickBot="1" x14ac:dyDescent="0.35"/>
    <row r="2" spans="2:3" ht="15.75" customHeight="1" thickBot="1" x14ac:dyDescent="0.35">
      <c r="B2" s="185" t="s">
        <v>0</v>
      </c>
      <c r="C2" s="187"/>
    </row>
    <row r="3" spans="2:3" ht="60" customHeight="1" thickBot="1" x14ac:dyDescent="0.35">
      <c r="B3" s="188" t="s">
        <v>61</v>
      </c>
      <c r="C3" s="190"/>
    </row>
    <row r="4" spans="2:3" ht="15" thickBot="1" x14ac:dyDescent="0.35"/>
    <row r="5" spans="2:3" ht="15" thickBot="1" x14ac:dyDescent="0.35">
      <c r="B5" s="175" t="s">
        <v>62</v>
      </c>
      <c r="C5" s="176"/>
    </row>
    <row r="6" spans="2:3" x14ac:dyDescent="0.3">
      <c r="B6" s="7" t="s">
        <v>63</v>
      </c>
      <c r="C6" s="12">
        <f>SUM(C7:C13)+C14</f>
        <v>0.33800000000000008</v>
      </c>
    </row>
    <row r="7" spans="2:3" x14ac:dyDescent="0.3">
      <c r="B7" s="6" t="s">
        <v>64</v>
      </c>
      <c r="C7" s="16">
        <v>0.2</v>
      </c>
    </row>
    <row r="8" spans="2:3" x14ac:dyDescent="0.3">
      <c r="B8" s="11" t="s">
        <v>65</v>
      </c>
      <c r="C8" s="16">
        <f>IF('Dados da Empresa'!$C$16="Simples Nacional",0,1.5%)</f>
        <v>1.4999999999999999E-2</v>
      </c>
    </row>
    <row r="9" spans="2:3" x14ac:dyDescent="0.3">
      <c r="B9" s="11" t="s">
        <v>66</v>
      </c>
      <c r="C9" s="16">
        <f>IF('Dados da Empresa'!$C$16="Simples Nacional",0,1%)</f>
        <v>0.01</v>
      </c>
    </row>
    <row r="10" spans="2:3" x14ac:dyDescent="0.3">
      <c r="B10" s="11" t="s">
        <v>67</v>
      </c>
      <c r="C10" s="16">
        <f>IF('Dados da Empresa'!$C$16="Simples Nacional",0,0.2%)</f>
        <v>2E-3</v>
      </c>
    </row>
    <row r="11" spans="2:3" x14ac:dyDescent="0.3">
      <c r="B11" s="11" t="s">
        <v>68</v>
      </c>
      <c r="C11" s="16">
        <f>IF('Dados da Empresa'!$C$16="Simples Nacional",0,0.6%)</f>
        <v>6.0000000000000001E-3</v>
      </c>
    </row>
    <row r="12" spans="2:3" x14ac:dyDescent="0.3">
      <c r="B12" s="11" t="s">
        <v>69</v>
      </c>
      <c r="C12" s="16">
        <f>IF('Dados da Empresa'!$C$16="Simples Nacional",0,2.5%)</f>
        <v>2.5000000000000001E-2</v>
      </c>
    </row>
    <row r="13" spans="2:3" x14ac:dyDescent="0.3">
      <c r="B13" s="6" t="s">
        <v>70</v>
      </c>
      <c r="C13" s="16">
        <v>0.08</v>
      </c>
    </row>
    <row r="14" spans="2:3" x14ac:dyDescent="0.3">
      <c r="B14" s="6" t="s">
        <v>71</v>
      </c>
      <c r="C14" s="141">
        <f>('Dados da Empresa'!C12*'Dados da Empresa'!C13)/100</f>
        <v>0</v>
      </c>
    </row>
    <row r="15" spans="2:3" x14ac:dyDescent="0.3">
      <c r="B15" s="5" t="s">
        <v>72</v>
      </c>
      <c r="C15" s="13">
        <f>SUM(C16:C21)</f>
        <v>9.128E-2</v>
      </c>
    </row>
    <row r="16" spans="2:3" x14ac:dyDescent="0.3">
      <c r="B16" s="6" t="s">
        <v>73</v>
      </c>
      <c r="C16" s="23">
        <v>9.128E-2</v>
      </c>
    </row>
    <row r="17" spans="2:3" x14ac:dyDescent="0.3">
      <c r="B17" s="6" t="s">
        <v>159</v>
      </c>
      <c r="C17" s="174"/>
    </row>
    <row r="18" spans="2:3" x14ac:dyDescent="0.3">
      <c r="B18" s="6" t="s">
        <v>160</v>
      </c>
      <c r="C18" s="174"/>
    </row>
    <row r="19" spans="2:3" x14ac:dyDescent="0.3">
      <c r="B19" s="11" t="s">
        <v>74</v>
      </c>
      <c r="C19" s="174"/>
    </row>
    <row r="20" spans="2:3" x14ac:dyDescent="0.3">
      <c r="B20" s="6" t="s">
        <v>75</v>
      </c>
      <c r="C20" s="174"/>
    </row>
    <row r="21" spans="2:3" x14ac:dyDescent="0.3">
      <c r="B21" s="6" t="s">
        <v>76</v>
      </c>
      <c r="C21" s="174"/>
    </row>
    <row r="22" spans="2:3" x14ac:dyDescent="0.3">
      <c r="B22" s="5" t="s">
        <v>77</v>
      </c>
      <c r="C22" s="13">
        <f>SUM(C23:C24)</f>
        <v>0.12402000000000001</v>
      </c>
    </row>
    <row r="23" spans="2:3" x14ac:dyDescent="0.3">
      <c r="B23" s="6" t="s">
        <v>78</v>
      </c>
      <c r="C23" s="23">
        <v>3.0429999999999999E-2</v>
      </c>
    </row>
    <row r="24" spans="2:3" x14ac:dyDescent="0.3">
      <c r="B24" s="6" t="s">
        <v>79</v>
      </c>
      <c r="C24" s="23">
        <v>9.3590000000000007E-2</v>
      </c>
    </row>
    <row r="25" spans="2:3" x14ac:dyDescent="0.3">
      <c r="B25" s="5" t="s">
        <v>80</v>
      </c>
      <c r="C25" s="13">
        <f>SUM(C26:C30)</f>
        <v>0</v>
      </c>
    </row>
    <row r="26" spans="2:3" x14ac:dyDescent="0.3">
      <c r="B26" s="6" t="s">
        <v>81</v>
      </c>
      <c r="C26" s="174"/>
    </row>
    <row r="27" spans="2:3" x14ac:dyDescent="0.3">
      <c r="B27" s="6" t="s">
        <v>82</v>
      </c>
      <c r="C27" s="174"/>
    </row>
    <row r="28" spans="2:3" x14ac:dyDescent="0.3">
      <c r="B28" s="6" t="s">
        <v>83</v>
      </c>
      <c r="C28" s="174"/>
    </row>
    <row r="29" spans="2:3" x14ac:dyDescent="0.3">
      <c r="B29" s="6" t="s">
        <v>84</v>
      </c>
      <c r="C29" s="174"/>
    </row>
    <row r="30" spans="2:3" x14ac:dyDescent="0.3">
      <c r="B30" s="6" t="s">
        <v>85</v>
      </c>
      <c r="C30" s="174"/>
    </row>
    <row r="31" spans="2:3" x14ac:dyDescent="0.3">
      <c r="B31" s="5" t="s">
        <v>86</v>
      </c>
      <c r="C31" s="13">
        <f>SUM(C32:C37)</f>
        <v>0</v>
      </c>
    </row>
    <row r="32" spans="2:3" x14ac:dyDescent="0.3">
      <c r="B32" s="11" t="s">
        <v>87</v>
      </c>
      <c r="C32" s="174"/>
    </row>
    <row r="33" spans="2:3" x14ac:dyDescent="0.3">
      <c r="B33" s="6" t="s">
        <v>88</v>
      </c>
      <c r="C33" s="174"/>
    </row>
    <row r="34" spans="2:3" x14ac:dyDescent="0.3">
      <c r="B34" s="6" t="s">
        <v>89</v>
      </c>
      <c r="C34" s="174"/>
    </row>
    <row r="35" spans="2:3" x14ac:dyDescent="0.3">
      <c r="B35" s="6" t="s">
        <v>90</v>
      </c>
      <c r="C35" s="174"/>
    </row>
    <row r="36" spans="2:3" x14ac:dyDescent="0.3">
      <c r="B36" s="6" t="s">
        <v>91</v>
      </c>
      <c r="C36" s="174"/>
    </row>
    <row r="37" spans="2:3" x14ac:dyDescent="0.3">
      <c r="B37" s="6" t="s">
        <v>92</v>
      </c>
      <c r="C37" s="174"/>
    </row>
    <row r="38" spans="2:3" x14ac:dyDescent="0.3">
      <c r="B38" s="5" t="s">
        <v>93</v>
      </c>
      <c r="C38" s="13">
        <f>SUM(C39:C40)</f>
        <v>8.8529999999999998E-2</v>
      </c>
    </row>
    <row r="39" spans="2:3" x14ac:dyDescent="0.3">
      <c r="B39" s="6" t="s">
        <v>94</v>
      </c>
      <c r="C39" s="23">
        <v>4.292E-2</v>
      </c>
    </row>
    <row r="40" spans="2:3" ht="15" thickBot="1" x14ac:dyDescent="0.35">
      <c r="B40" s="9" t="s">
        <v>95</v>
      </c>
      <c r="C40" s="24">
        <v>4.5609999999999998E-2</v>
      </c>
    </row>
    <row r="41" spans="2:3" ht="15.6" thickTop="1" thickBot="1" x14ac:dyDescent="0.35">
      <c r="B41" s="8" t="s">
        <v>96</v>
      </c>
      <c r="C41" s="14">
        <f>SUM(C38,C31,C25,C22,C15,C6)</f>
        <v>0.64183000000000012</v>
      </c>
    </row>
  </sheetData>
  <sheetProtection algorithmName="SHA-512" hashValue="m/zh8uzA7GAFtFfHl0u/xQ3AJZLI0pRWxCj8F5p8bXAlbRDZVZ24yevuo7OpUbcIQIyBP3NSdU9P0w/4tbE4sw==" saltValue="Kn3yiwGo2s6IW4JZTxkAmQ==" spinCount="100000" sheet="1" objects="1" scenarios="1"/>
  <mergeCells count="3">
    <mergeCell ref="B2:C2"/>
    <mergeCell ref="B3:C3"/>
    <mergeCell ref="B5:C5"/>
  </mergeCells>
  <phoneticPr fontId="8" type="noConversion"/>
  <pageMargins left="0.7" right="0.7" top="0.75" bottom="0.75" header="0.3" footer="0.3"/>
  <pageSetup paperSize="9"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E334B-9493-4B0C-80FA-7CCBBC221B07}">
  <sheetPr codeName="Planilha3"/>
  <dimension ref="C3:R18"/>
  <sheetViews>
    <sheetView showGridLines="0" zoomScale="70" zoomScaleNormal="70" workbookViewId="0">
      <selection activeCell="F16" sqref="F16:P16"/>
    </sheetView>
  </sheetViews>
  <sheetFormatPr defaultColWidth="8.6640625" defaultRowHeight="14.4" x14ac:dyDescent="0.3"/>
  <cols>
    <col min="2" max="2" width="3.5546875" customWidth="1"/>
    <col min="3" max="3" width="8.109375" style="114" customWidth="1"/>
    <col min="4" max="4" width="31.5546875" style="115" customWidth="1"/>
    <col min="5" max="5" width="14.109375" bestFit="1" customWidth="1"/>
    <col min="6" max="17" width="15.109375" customWidth="1"/>
    <col min="18" max="18" width="35.88671875" customWidth="1"/>
  </cols>
  <sheetData>
    <row r="3" spans="3:18" x14ac:dyDescent="0.3">
      <c r="C3" s="230" t="s">
        <v>123</v>
      </c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</row>
    <row r="4" spans="3:18" x14ac:dyDescent="0.3"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</row>
    <row r="7" spans="3:18" ht="122.25" customHeight="1" x14ac:dyDescent="0.3">
      <c r="C7" s="107" t="s">
        <v>124</v>
      </c>
      <c r="D7" s="107" t="s">
        <v>125</v>
      </c>
      <c r="E7" s="51" t="s">
        <v>99</v>
      </c>
      <c r="F7" s="51" t="s">
        <v>126</v>
      </c>
      <c r="G7" s="51" t="s">
        <v>127</v>
      </c>
      <c r="H7" s="51" t="s">
        <v>128</v>
      </c>
      <c r="I7" s="51" t="s">
        <v>129</v>
      </c>
      <c r="J7" s="51" t="s">
        <v>130</v>
      </c>
      <c r="K7" s="51" t="s">
        <v>131</v>
      </c>
      <c r="L7" s="51" t="s">
        <v>132</v>
      </c>
      <c r="M7" s="51" t="s">
        <v>133</v>
      </c>
      <c r="N7" s="51" t="s">
        <v>134</v>
      </c>
      <c r="O7" s="51" t="s">
        <v>135</v>
      </c>
      <c r="P7" s="51" t="s">
        <v>136</v>
      </c>
      <c r="Q7" s="51" t="s">
        <v>137</v>
      </c>
      <c r="R7" s="51" t="s">
        <v>138</v>
      </c>
    </row>
    <row r="8" spans="3:18" s="110" customFormat="1" ht="70.349999999999994" customHeight="1" x14ac:dyDescent="0.3">
      <c r="C8" s="108">
        <v>1</v>
      </c>
      <c r="D8" s="109" t="s">
        <v>139</v>
      </c>
      <c r="E8" s="108">
        <v>2</v>
      </c>
      <c r="F8" s="71"/>
      <c r="G8" s="108">
        <v>74.89</v>
      </c>
      <c r="H8" s="71"/>
      <c r="I8" s="108">
        <v>41.46</v>
      </c>
      <c r="J8" s="71"/>
      <c r="K8" s="108">
        <v>11.78</v>
      </c>
      <c r="L8" s="71"/>
      <c r="M8" s="231" t="s">
        <v>140</v>
      </c>
      <c r="N8" s="232"/>
      <c r="O8" s="232"/>
      <c r="P8" s="233"/>
      <c r="Q8" s="73">
        <f>(E8*F8)+(G8*H8)+(I8*J8)+(K8*L8)</f>
        <v>0</v>
      </c>
      <c r="R8" s="72"/>
    </row>
    <row r="9" spans="3:18" s="110" customFormat="1" ht="70.349999999999994" customHeight="1" x14ac:dyDescent="0.3">
      <c r="C9" s="108">
        <v>2</v>
      </c>
      <c r="D9" s="109" t="s">
        <v>141</v>
      </c>
      <c r="E9" s="108">
        <v>1</v>
      </c>
      <c r="F9" s="71"/>
      <c r="G9" s="231" t="s">
        <v>140</v>
      </c>
      <c r="H9" s="232"/>
      <c r="I9" s="232"/>
      <c r="J9" s="232"/>
      <c r="K9" s="232"/>
      <c r="L9" s="233"/>
      <c r="M9" s="108">
        <f>100/200</f>
        <v>0.5</v>
      </c>
      <c r="N9" s="71"/>
      <c r="O9" s="108">
        <f>100/200</f>
        <v>0.5</v>
      </c>
      <c r="P9" s="71"/>
      <c r="Q9" s="73">
        <f>(E9*F9)+(M9*N9)+(O9*P9)</f>
        <v>0</v>
      </c>
      <c r="R9" s="72"/>
    </row>
    <row r="10" spans="3:18" s="110" customFormat="1" ht="4.5" customHeight="1" x14ac:dyDescent="0.3">
      <c r="C10" s="216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8"/>
    </row>
    <row r="11" spans="3:18" ht="78.75" customHeight="1" x14ac:dyDescent="0.3">
      <c r="C11" s="107" t="s">
        <v>124</v>
      </c>
      <c r="D11" s="107" t="s">
        <v>125</v>
      </c>
      <c r="E11" s="107" t="s">
        <v>99</v>
      </c>
      <c r="F11" s="219" t="s">
        <v>126</v>
      </c>
      <c r="G11" s="220"/>
      <c r="H11" s="220"/>
      <c r="I11" s="220"/>
      <c r="J11" s="220"/>
      <c r="K11" s="220"/>
      <c r="L11" s="220"/>
      <c r="M11" s="220"/>
      <c r="N11" s="220"/>
      <c r="O11" s="220"/>
      <c r="P11" s="221"/>
      <c r="Q11" s="51" t="s">
        <v>137</v>
      </c>
      <c r="R11" s="51" t="s">
        <v>138</v>
      </c>
    </row>
    <row r="12" spans="3:18" s="110" customFormat="1" ht="55.2" x14ac:dyDescent="0.3">
      <c r="C12" s="108">
        <v>3</v>
      </c>
      <c r="D12" s="109" t="s">
        <v>142</v>
      </c>
      <c r="E12" s="108">
        <v>1</v>
      </c>
      <c r="F12" s="227"/>
      <c r="G12" s="228"/>
      <c r="H12" s="228"/>
      <c r="I12" s="228"/>
      <c r="J12" s="228"/>
      <c r="K12" s="228"/>
      <c r="L12" s="228"/>
      <c r="M12" s="228"/>
      <c r="N12" s="228"/>
      <c r="O12" s="228"/>
      <c r="P12" s="229"/>
      <c r="Q12" s="111">
        <f>F12*E12</f>
        <v>0</v>
      </c>
      <c r="R12" s="72"/>
    </row>
    <row r="13" spans="3:18" s="110" customFormat="1" ht="4.5" customHeight="1" x14ac:dyDescent="0.3">
      <c r="C13" s="216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8"/>
    </row>
    <row r="14" spans="3:18" ht="78.75" customHeight="1" x14ac:dyDescent="0.3">
      <c r="C14" s="112" t="s">
        <v>124</v>
      </c>
      <c r="D14" s="107" t="s">
        <v>125</v>
      </c>
      <c r="E14" s="107" t="s">
        <v>99</v>
      </c>
      <c r="F14" s="219" t="s">
        <v>143</v>
      </c>
      <c r="G14" s="220"/>
      <c r="H14" s="220"/>
      <c r="I14" s="220"/>
      <c r="J14" s="220"/>
      <c r="K14" s="220"/>
      <c r="L14" s="220"/>
      <c r="M14" s="220"/>
      <c r="N14" s="220"/>
      <c r="O14" s="220"/>
      <c r="P14" s="221"/>
      <c r="Q14" s="219" t="s">
        <v>137</v>
      </c>
      <c r="R14" s="221"/>
    </row>
    <row r="15" spans="3:18" s="110" customFormat="1" ht="42" customHeight="1" x14ac:dyDescent="0.3">
      <c r="C15" s="108">
        <v>4</v>
      </c>
      <c r="D15" s="109" t="s">
        <v>144</v>
      </c>
      <c r="E15" s="108">
        <v>3</v>
      </c>
      <c r="F15" s="222">
        <f>'Dados de Custos'!C45</f>
        <v>0</v>
      </c>
      <c r="G15" s="223"/>
      <c r="H15" s="223"/>
      <c r="I15" s="223"/>
      <c r="J15" s="223"/>
      <c r="K15" s="223"/>
      <c r="L15" s="223"/>
      <c r="M15" s="223"/>
      <c r="N15" s="223"/>
      <c r="O15" s="223"/>
      <c r="P15" s="224"/>
      <c r="Q15" s="225">
        <f>F15*E15</f>
        <v>0</v>
      </c>
      <c r="R15" s="226"/>
    </row>
    <row r="16" spans="3:18" s="110" customFormat="1" ht="42" customHeight="1" x14ac:dyDescent="0.3">
      <c r="C16" s="108">
        <v>5</v>
      </c>
      <c r="D16" s="109" t="s">
        <v>145</v>
      </c>
      <c r="E16" s="113" t="s">
        <v>146</v>
      </c>
      <c r="F16" s="222">
        <f>'Dados de Custos'!C49</f>
        <v>0</v>
      </c>
      <c r="G16" s="223"/>
      <c r="H16" s="223"/>
      <c r="I16" s="223"/>
      <c r="J16" s="223"/>
      <c r="K16" s="223"/>
      <c r="L16" s="223"/>
      <c r="M16" s="223"/>
      <c r="N16" s="223"/>
      <c r="O16" s="223"/>
      <c r="P16" s="224"/>
      <c r="Q16" s="225">
        <f>F16*30</f>
        <v>0</v>
      </c>
      <c r="R16" s="226"/>
    </row>
    <row r="17" spans="3:18" ht="21" x14ac:dyDescent="0.4">
      <c r="C17" s="210" t="s">
        <v>147</v>
      </c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1">
        <f>SUM(Q16,Q15,Q12,Q9,Q8)</f>
        <v>0</v>
      </c>
      <c r="R17" s="212"/>
    </row>
    <row r="18" spans="3:18" ht="21" x14ac:dyDescent="0.4">
      <c r="C18" s="213" t="s">
        <v>148</v>
      </c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4">
        <f>Q17*60</f>
        <v>0</v>
      </c>
      <c r="R18" s="215"/>
    </row>
  </sheetData>
  <sheetProtection algorithmName="SHA-512" hashValue="skkWc4eXILuaoNTxRsuaTYJvi18WqmlIrj+uEJSjGwBxZdf5GeNVMYifo9lrfYe+LzNUlYpu+9cSJajTRRftSA==" saltValue="nkO5Nbkxmumh33N1LmB3GQ==" spinCount="100000" sheet="1" objects="1" scenarios="1"/>
  <mergeCells count="17">
    <mergeCell ref="F12:P12"/>
    <mergeCell ref="C3:R4"/>
    <mergeCell ref="M8:P8"/>
    <mergeCell ref="G9:L9"/>
    <mergeCell ref="C10:R10"/>
    <mergeCell ref="F11:P11"/>
    <mergeCell ref="C17:P17"/>
    <mergeCell ref="Q17:R17"/>
    <mergeCell ref="C18:P18"/>
    <mergeCell ref="Q18:R18"/>
    <mergeCell ref="C13:R13"/>
    <mergeCell ref="F14:P14"/>
    <mergeCell ref="Q14:R14"/>
    <mergeCell ref="F15:P15"/>
    <mergeCell ref="Q15:R15"/>
    <mergeCell ref="F16:P16"/>
    <mergeCell ref="Q16:R1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pageSetUpPr fitToPage="1"/>
  </sheetPr>
  <dimension ref="B1:H16"/>
  <sheetViews>
    <sheetView showGridLines="0" zoomScaleNormal="100" zoomScaleSheetLayoutView="130" workbookViewId="0">
      <selection activeCell="L18" sqref="L18"/>
    </sheetView>
  </sheetViews>
  <sheetFormatPr defaultColWidth="9.109375" defaultRowHeight="14.4" x14ac:dyDescent="0.3"/>
  <cols>
    <col min="1" max="1" width="4" style="2" customWidth="1"/>
    <col min="2" max="2" width="2.88671875" style="2" customWidth="1"/>
    <col min="3" max="3" width="43.88671875" style="2" customWidth="1"/>
    <col min="4" max="4" width="12.44140625" style="2" customWidth="1"/>
    <col min="5" max="5" width="11.44140625" style="2" bestFit="1" customWidth="1"/>
    <col min="6" max="6" width="13.44140625" style="2" customWidth="1"/>
    <col min="7" max="7" width="12.88671875" style="2" customWidth="1"/>
    <col min="8" max="8" width="15.5546875" style="2" bestFit="1" customWidth="1"/>
    <col min="9" max="16384" width="9.109375" style="2"/>
  </cols>
  <sheetData>
    <row r="1" spans="2:8" ht="15" thickBot="1" x14ac:dyDescent="0.35"/>
    <row r="2" spans="2:8" ht="15" thickBot="1" x14ac:dyDescent="0.35">
      <c r="C2" s="234" t="s">
        <v>97</v>
      </c>
      <c r="D2" s="235"/>
      <c r="E2" s="235"/>
      <c r="F2" s="235"/>
      <c r="G2" s="235"/>
      <c r="H2" s="236"/>
    </row>
    <row r="3" spans="2:8" ht="28.2" thickBot="1" x14ac:dyDescent="0.35">
      <c r="B3" s="3"/>
      <c r="C3" s="74" t="s">
        <v>18</v>
      </c>
      <c r="D3" s="74" t="s">
        <v>98</v>
      </c>
      <c r="E3" s="74" t="s">
        <v>99</v>
      </c>
      <c r="F3" s="74" t="s">
        <v>100</v>
      </c>
      <c r="G3" s="74" t="s">
        <v>101</v>
      </c>
      <c r="H3" s="74" t="s">
        <v>102</v>
      </c>
    </row>
    <row r="4" spans="2:8" ht="42" thickBot="1" x14ac:dyDescent="0.35">
      <c r="B4" s="3"/>
      <c r="C4" s="81" t="s">
        <v>139</v>
      </c>
      <c r="D4" s="77" t="s">
        <v>149</v>
      </c>
      <c r="E4" s="75">
        <v>2</v>
      </c>
      <c r="F4" s="75" t="s">
        <v>104</v>
      </c>
      <c r="G4" s="82">
        <f>'Anexo D - Planilha de Preços'!Q8</f>
        <v>0</v>
      </c>
      <c r="H4" s="86">
        <f>G4*60</f>
        <v>0</v>
      </c>
    </row>
    <row r="5" spans="2:8" ht="42" thickBot="1" x14ac:dyDescent="0.35">
      <c r="B5" s="3"/>
      <c r="C5" s="61" t="s">
        <v>141</v>
      </c>
      <c r="D5" s="78" t="s">
        <v>149</v>
      </c>
      <c r="E5" s="52">
        <v>1</v>
      </c>
      <c r="F5" s="52" t="s">
        <v>104</v>
      </c>
      <c r="G5" s="83">
        <f>'Anexo D - Planilha de Preços'!Q9</f>
        <v>0</v>
      </c>
      <c r="H5" s="86">
        <f t="shared" ref="H5:H6" si="0">G5*60</f>
        <v>0</v>
      </c>
    </row>
    <row r="6" spans="2:8" ht="41.4" x14ac:dyDescent="0.3">
      <c r="B6" s="3"/>
      <c r="C6" s="61" t="s">
        <v>142</v>
      </c>
      <c r="D6" s="78" t="s">
        <v>150</v>
      </c>
      <c r="E6" s="53">
        <v>1</v>
      </c>
      <c r="F6" s="52" t="s">
        <v>104</v>
      </c>
      <c r="G6" s="83">
        <f>'Anexo D - Planilha de Preços'!Q12</f>
        <v>0</v>
      </c>
      <c r="H6" s="86">
        <f t="shared" si="0"/>
        <v>0</v>
      </c>
    </row>
    <row r="7" spans="2:8" x14ac:dyDescent="0.3">
      <c r="B7" s="3"/>
      <c r="C7" s="61" t="s">
        <v>144</v>
      </c>
      <c r="D7" s="79" t="s">
        <v>103</v>
      </c>
      <c r="E7" s="27">
        <v>3</v>
      </c>
      <c r="F7" s="54" t="s">
        <v>104</v>
      </c>
      <c r="G7" s="84">
        <f>'Anexo D - Planilha de Preços'!Q15</f>
        <v>0</v>
      </c>
      <c r="H7" s="87">
        <f>G7*60</f>
        <v>0</v>
      </c>
    </row>
    <row r="8" spans="2:8" ht="28.2" thickBot="1" x14ac:dyDescent="0.35">
      <c r="B8" s="3"/>
      <c r="C8" s="62" t="s">
        <v>145</v>
      </c>
      <c r="D8" s="80" t="s">
        <v>116</v>
      </c>
      <c r="E8" s="60">
        <v>30</v>
      </c>
      <c r="F8" s="76" t="s">
        <v>117</v>
      </c>
      <c r="G8" s="85">
        <f>'Anexo D - Planilha de Preços'!Q16</f>
        <v>0</v>
      </c>
      <c r="H8" s="89">
        <f>G8*60</f>
        <v>0</v>
      </c>
    </row>
    <row r="9" spans="2:8" ht="15" thickBot="1" x14ac:dyDescent="0.35">
      <c r="B9" s="3"/>
      <c r="C9" s="237" t="s">
        <v>21</v>
      </c>
      <c r="D9" s="238"/>
      <c r="E9" s="238"/>
      <c r="F9" s="239"/>
      <c r="G9" s="88">
        <f>SUM(G4:G8)</f>
        <v>0</v>
      </c>
      <c r="H9" s="88">
        <f>SUM(H4:H8)</f>
        <v>0</v>
      </c>
    </row>
    <row r="10" spans="2:8" x14ac:dyDescent="0.3">
      <c r="B10" s="3"/>
      <c r="C10" s="3"/>
      <c r="D10" s="3"/>
      <c r="E10" s="4"/>
      <c r="F10" s="4"/>
    </row>
    <row r="11" spans="2:8" x14ac:dyDescent="0.3">
      <c r="B11" s="3"/>
      <c r="C11" s="3"/>
      <c r="D11" s="3"/>
    </row>
    <row r="12" spans="2:8" x14ac:dyDescent="0.3">
      <c r="B12" s="3"/>
      <c r="C12" s="3"/>
      <c r="D12" s="3"/>
    </row>
    <row r="13" spans="2:8" x14ac:dyDescent="0.3">
      <c r="B13" s="3"/>
      <c r="C13" s="3"/>
      <c r="D13" s="3"/>
    </row>
    <row r="14" spans="2:8" x14ac:dyDescent="0.3">
      <c r="B14" s="3"/>
      <c r="C14" s="3"/>
      <c r="D14" s="3"/>
    </row>
    <row r="15" spans="2:8" x14ac:dyDescent="0.3">
      <c r="B15" s="3"/>
      <c r="C15" s="3"/>
      <c r="D15" s="3"/>
    </row>
    <row r="16" spans="2:8" x14ac:dyDescent="0.3">
      <c r="C16" s="3"/>
      <c r="D16" s="3"/>
    </row>
  </sheetData>
  <sheetProtection algorithmName="SHA-512" hashValue="xN6yIrTBx5rx2eyV4xJj5Gp7paky19F/1V/zYO7D5BG/DGeAT066UUWO5HoZDnjhcahyZLYwydTTJrNH0ldQxA==" saltValue="8wDZ8echHQuBFAZZ33H4vA==" spinCount="100000" sheet="1" objects="1" scenarios="1"/>
  <mergeCells count="2">
    <mergeCell ref="C2:H2"/>
    <mergeCell ref="C9:F9"/>
  </mergeCells>
  <phoneticPr fontId="8" type="noConversion"/>
  <printOptions horizontalCentered="1" verticalCentered="1"/>
  <pageMargins left="0.70866141732283472" right="0.70866141732283472" top="0.74803149606299213" bottom="8.6614173228346463" header="0.31496062992125984" footer="0.31496062992125984"/>
  <pageSetup paperSize="119" scale="6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B1:P39"/>
  <sheetViews>
    <sheetView workbookViewId="0">
      <selection activeCell="B2" sqref="B2:L2"/>
    </sheetView>
  </sheetViews>
  <sheetFormatPr defaultColWidth="9.109375" defaultRowHeight="13.8" x14ac:dyDescent="0.3"/>
  <cols>
    <col min="1" max="1" width="2.88671875" style="3" customWidth="1"/>
    <col min="2" max="2" width="27.21875" style="17" bestFit="1" customWidth="1"/>
    <col min="3" max="3" width="23.6640625" style="3" customWidth="1"/>
    <col min="4" max="4" width="10.109375" style="3" bestFit="1" customWidth="1"/>
    <col min="5" max="5" width="16.109375" style="3" customWidth="1"/>
    <col min="6" max="6" width="17.44140625" style="3" customWidth="1"/>
    <col min="7" max="7" width="13.44140625" style="3" bestFit="1" customWidth="1"/>
    <col min="8" max="10" width="11.44140625" style="3" customWidth="1"/>
    <col min="11" max="12" width="12.109375" style="3" customWidth="1"/>
    <col min="13" max="13" width="12.44140625" style="3" bestFit="1" customWidth="1"/>
    <col min="14" max="14" width="23.109375" style="3" bestFit="1" customWidth="1"/>
    <col min="15" max="15" width="10.44140625" style="3" customWidth="1"/>
    <col min="16" max="16" width="11.44140625" style="3" bestFit="1" customWidth="1"/>
    <col min="17" max="16384" width="9.109375" style="3"/>
  </cols>
  <sheetData>
    <row r="1" spans="2:16" ht="14.4" thickBot="1" x14ac:dyDescent="0.35"/>
    <row r="2" spans="2:16" ht="15" customHeight="1" thickBot="1" x14ac:dyDescent="0.35">
      <c r="B2" s="248" t="s">
        <v>151</v>
      </c>
      <c r="C2" s="249"/>
      <c r="D2" s="249"/>
      <c r="E2" s="249"/>
      <c r="F2" s="249"/>
      <c r="G2" s="249"/>
      <c r="H2" s="249"/>
      <c r="I2" s="249"/>
      <c r="J2" s="249"/>
      <c r="K2" s="249"/>
      <c r="L2" s="250"/>
    </row>
    <row r="3" spans="2:16" ht="15.75" customHeight="1" x14ac:dyDescent="0.3">
      <c r="B3" s="253" t="s">
        <v>18</v>
      </c>
      <c r="C3" s="251" t="s">
        <v>98</v>
      </c>
      <c r="D3" s="257" t="s">
        <v>99</v>
      </c>
      <c r="E3" s="257" t="s">
        <v>105</v>
      </c>
      <c r="F3" s="255" t="s">
        <v>101</v>
      </c>
      <c r="G3" s="245" t="s">
        <v>106</v>
      </c>
      <c r="H3" s="246"/>
      <c r="I3" s="246"/>
      <c r="J3" s="246"/>
      <c r="K3" s="246"/>
      <c r="L3" s="247"/>
    </row>
    <row r="4" spans="2:16" s="20" customFormat="1" ht="45" customHeight="1" thickBot="1" x14ac:dyDescent="0.35">
      <c r="B4" s="254"/>
      <c r="C4" s="252"/>
      <c r="D4" s="258"/>
      <c r="E4" s="258"/>
      <c r="F4" s="256"/>
      <c r="G4" s="47" t="s">
        <v>107</v>
      </c>
      <c r="H4" s="48" t="s">
        <v>32</v>
      </c>
      <c r="I4" s="48" t="s">
        <v>108</v>
      </c>
      <c r="J4" s="48" t="s">
        <v>109</v>
      </c>
      <c r="K4" s="48" t="s">
        <v>110</v>
      </c>
      <c r="L4" s="49" t="s">
        <v>34</v>
      </c>
      <c r="P4" s="19"/>
    </row>
    <row r="5" spans="2:16" s="20" customFormat="1" ht="18" customHeight="1" thickBot="1" x14ac:dyDescent="0.35">
      <c r="B5" s="44" t="s">
        <v>121</v>
      </c>
      <c r="C5" s="46" t="s">
        <v>103</v>
      </c>
      <c r="D5" s="41">
        <v>3</v>
      </c>
      <c r="E5" s="42">
        <f>'Dados de Custos'!C45</f>
        <v>0</v>
      </c>
      <c r="F5" s="43">
        <f>D5*E5</f>
        <v>0</v>
      </c>
      <c r="G5" s="45">
        <f>'Dados de Custos'!C11</f>
        <v>0</v>
      </c>
      <c r="H5" s="42">
        <f>'Dados de Custos'!C18</f>
        <v>0</v>
      </c>
      <c r="I5" s="42">
        <f>'Dados de Custos'!C22+'Dados de Custos'!C27+'Dados de Custos'!C30</f>
        <v>0</v>
      </c>
      <c r="J5" s="42">
        <f>'Dados de Custos'!C34</f>
        <v>0</v>
      </c>
      <c r="K5" s="42">
        <f>'Dados de Custos'!C39</f>
        <v>0</v>
      </c>
      <c r="L5" s="43">
        <f>'Dados de Custos'!C42</f>
        <v>0</v>
      </c>
      <c r="P5" s="19"/>
    </row>
    <row r="6" spans="2:16" s="20" customFormat="1" ht="18" customHeight="1" thickBot="1" x14ac:dyDescent="0.35">
      <c r="B6" s="57"/>
      <c r="C6" s="3"/>
      <c r="D6" s="58"/>
      <c r="E6" s="59"/>
      <c r="F6" s="59"/>
      <c r="G6" s="59"/>
      <c r="H6" s="59"/>
      <c r="I6" s="59"/>
      <c r="J6" s="59"/>
      <c r="K6" s="59"/>
      <c r="L6" s="59"/>
      <c r="P6" s="19"/>
    </row>
    <row r="7" spans="2:16" ht="14.4" thickBot="1" x14ac:dyDescent="0.35">
      <c r="B7" s="248" t="s">
        <v>152</v>
      </c>
      <c r="C7" s="249"/>
      <c r="D7" s="249"/>
      <c r="E7" s="249"/>
      <c r="F7" s="249"/>
      <c r="G7" s="249"/>
      <c r="H7" s="249"/>
      <c r="I7" s="249"/>
      <c r="J7" s="249"/>
      <c r="K7" s="249"/>
      <c r="L7" s="250"/>
    </row>
    <row r="8" spans="2:16" x14ac:dyDescent="0.3">
      <c r="B8" s="266" t="s">
        <v>18</v>
      </c>
      <c r="C8" s="251" t="s">
        <v>98</v>
      </c>
      <c r="D8" s="257" t="s">
        <v>99</v>
      </c>
      <c r="E8" s="257" t="s">
        <v>153</v>
      </c>
      <c r="F8" s="255" t="s">
        <v>154</v>
      </c>
      <c r="G8" s="245" t="s">
        <v>106</v>
      </c>
      <c r="H8" s="246"/>
      <c r="I8" s="246"/>
      <c r="J8" s="246"/>
      <c r="K8" s="246"/>
      <c r="L8" s="247"/>
    </row>
    <row r="9" spans="2:16" ht="55.2" x14ac:dyDescent="0.3">
      <c r="B9" s="267"/>
      <c r="C9" s="268"/>
      <c r="D9" s="269"/>
      <c r="E9" s="269"/>
      <c r="F9" s="270"/>
      <c r="G9" s="55" t="s">
        <v>126</v>
      </c>
      <c r="H9" s="56" t="str">
        <f>'Anexo D - Planilha de Preços'!H7</f>
        <v>Valor da impressão / cópia Mono A4 (x100)</v>
      </c>
      <c r="I9" s="51" t="s">
        <v>130</v>
      </c>
      <c r="J9" s="51" t="s">
        <v>132</v>
      </c>
      <c r="K9" s="51" t="s">
        <v>134</v>
      </c>
      <c r="L9" s="51" t="s">
        <v>136</v>
      </c>
    </row>
    <row r="10" spans="2:16" x14ac:dyDescent="0.3">
      <c r="B10" s="61" t="s">
        <v>155</v>
      </c>
      <c r="C10" s="67" t="s">
        <v>149</v>
      </c>
      <c r="D10" s="53">
        <v>2</v>
      </c>
      <c r="E10" s="63">
        <f>'Anexo D - Planilha de Preços'!F8</f>
        <v>0</v>
      </c>
      <c r="F10" s="64">
        <f>'Anexo D - Planilha de Preços'!Q8</f>
        <v>0</v>
      </c>
      <c r="G10" s="69">
        <f>'Anexo D - Planilha de Preços'!F8</f>
        <v>0</v>
      </c>
      <c r="H10" s="63">
        <f>'Anexo D - Planilha de Preços'!H8</f>
        <v>0</v>
      </c>
      <c r="I10" s="63">
        <f>'Anexo D - Planilha de Preços'!J8</f>
        <v>0</v>
      </c>
      <c r="J10" s="63">
        <f>'Anexo D - Planilha de Preços'!L8</f>
        <v>0</v>
      </c>
      <c r="K10" s="262"/>
      <c r="L10" s="265"/>
    </row>
    <row r="11" spans="2:16" x14ac:dyDescent="0.3">
      <c r="B11" s="61" t="s">
        <v>156</v>
      </c>
      <c r="C11" s="67" t="s">
        <v>149</v>
      </c>
      <c r="D11" s="27">
        <v>1</v>
      </c>
      <c r="E11" s="63">
        <f>'Anexo D - Planilha de Preços'!F9</f>
        <v>0</v>
      </c>
      <c r="F11" s="64">
        <f>'Anexo D - Planilha de Preços'!Q9</f>
        <v>0</v>
      </c>
      <c r="G11" s="69">
        <f>'Anexo D - Planilha de Preços'!F9</f>
        <v>0</v>
      </c>
      <c r="H11" s="262"/>
      <c r="I11" s="263"/>
      <c r="J11" s="264"/>
      <c r="K11" s="63">
        <f>'Anexo D - Planilha de Preços'!N9</f>
        <v>0</v>
      </c>
      <c r="L11" s="64">
        <f>'Anexo D - Planilha de Preços'!P9</f>
        <v>0</v>
      </c>
    </row>
    <row r="12" spans="2:16" ht="14.4" thickBot="1" x14ac:dyDescent="0.35">
      <c r="B12" s="62" t="s">
        <v>157</v>
      </c>
      <c r="C12" s="68" t="s">
        <v>150</v>
      </c>
      <c r="D12" s="60">
        <v>1</v>
      </c>
      <c r="E12" s="65">
        <f>'Anexo D - Planilha de Preços'!F12</f>
        <v>0</v>
      </c>
      <c r="F12" s="66">
        <f>'Anexo D - Planilha de Preços'!Q12</f>
        <v>0</v>
      </c>
      <c r="G12" s="70">
        <f>'Anexo D - Planilha de Preços'!F12</f>
        <v>0</v>
      </c>
      <c r="H12" s="259"/>
      <c r="I12" s="260"/>
      <c r="J12" s="260"/>
      <c r="K12" s="260"/>
      <c r="L12" s="261"/>
    </row>
    <row r="13" spans="2:16" ht="14.4" thickBot="1" x14ac:dyDescent="0.35"/>
    <row r="14" spans="2:16" ht="14.4" thickBot="1" x14ac:dyDescent="0.35">
      <c r="B14" s="240" t="s">
        <v>158</v>
      </c>
      <c r="C14" s="241"/>
      <c r="D14" s="241"/>
      <c r="E14" s="241"/>
      <c r="F14" s="241"/>
      <c r="G14" s="241"/>
      <c r="H14" s="241"/>
      <c r="I14" s="241"/>
      <c r="J14" s="242"/>
      <c r="K14" s="243">
        <f>'Anexo D - Planilha de Preços'!Q18</f>
        <v>0</v>
      </c>
      <c r="L14" s="244"/>
    </row>
    <row r="37" spans="5:5" ht="15.75" customHeight="1" x14ac:dyDescent="0.3"/>
    <row r="39" spans="5:5" x14ac:dyDescent="0.3">
      <c r="E39" s="18"/>
    </row>
  </sheetData>
  <sheetProtection algorithmName="SHA-512" hashValue="fe1Z0v3Am8XTf6M8neAYaMYnzWomVI+aqTigwD0+e35+wAsvq7L5EzaGCcJEvuG9N84Lm5uYFE1byWAq/lmmdQ==" saltValue="pCRjqj3xTqJC22tbPN6nvA==" spinCount="100000" sheet="1" objects="1" scenarios="1"/>
  <mergeCells count="19">
    <mergeCell ref="D8:D9"/>
    <mergeCell ref="E8:E9"/>
    <mergeCell ref="F8:F9"/>
    <mergeCell ref="B14:J14"/>
    <mergeCell ref="K14:L14"/>
    <mergeCell ref="G8:L8"/>
    <mergeCell ref="B2:L2"/>
    <mergeCell ref="C3:C4"/>
    <mergeCell ref="B3:B4"/>
    <mergeCell ref="G3:L3"/>
    <mergeCell ref="F3:F4"/>
    <mergeCell ref="E3:E4"/>
    <mergeCell ref="D3:D4"/>
    <mergeCell ref="B7:L7"/>
    <mergeCell ref="H12:L12"/>
    <mergeCell ref="H11:J11"/>
    <mergeCell ref="K10:L10"/>
    <mergeCell ref="B8:B9"/>
    <mergeCell ref="C8:C9"/>
  </mergeCells>
  <pageMargins left="0.25" right="0.25" top="0.75" bottom="0.75" header="0.3" footer="0.3"/>
  <pageSetup paperSize="9" scale="51" orientation="landscape" r:id="rId1"/>
  <ignoredErrors>
    <ignoredError sqref="F10:F12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B1:F15"/>
  <sheetViews>
    <sheetView workbookViewId="0">
      <selection activeCell="K15" sqref="K15"/>
    </sheetView>
  </sheetViews>
  <sheetFormatPr defaultColWidth="9.109375" defaultRowHeight="14.4" x14ac:dyDescent="0.3"/>
  <cols>
    <col min="1" max="1" width="2.88671875" style="2" customWidth="1"/>
    <col min="2" max="2" width="14.88671875" style="2" customWidth="1"/>
    <col min="3" max="3" width="16" style="2" bestFit="1" customWidth="1"/>
    <col min="4" max="4" width="14.88671875" style="2" customWidth="1"/>
    <col min="5" max="5" width="15.44140625" style="2" bestFit="1" customWidth="1"/>
    <col min="6" max="6" width="14.88671875" style="2" customWidth="1"/>
    <col min="7" max="16384" width="9.109375" style="2"/>
  </cols>
  <sheetData>
    <row r="1" spans="2:6" ht="15" thickBot="1" x14ac:dyDescent="0.35"/>
    <row r="2" spans="2:6" ht="15" thickBot="1" x14ac:dyDescent="0.35">
      <c r="B2" s="240" t="s">
        <v>111</v>
      </c>
      <c r="C2" s="241"/>
      <c r="D2" s="241"/>
      <c r="E2" s="241"/>
      <c r="F2" s="242"/>
    </row>
    <row r="3" spans="2:6" ht="15" customHeight="1" thickBot="1" x14ac:dyDescent="0.35">
      <c r="B3" s="90" t="s">
        <v>112</v>
      </c>
      <c r="C3" s="91" t="s">
        <v>113</v>
      </c>
      <c r="D3" s="92" t="s">
        <v>114</v>
      </c>
      <c r="E3" s="93" t="s">
        <v>115</v>
      </c>
      <c r="F3" s="94" t="s">
        <v>122</v>
      </c>
    </row>
    <row r="4" spans="2:6" x14ac:dyDescent="0.3">
      <c r="B4" s="99">
        <v>2025</v>
      </c>
      <c r="C4" s="100">
        <v>5</v>
      </c>
      <c r="D4" s="101">
        <f>'Orçam. sintético'!$G$9</f>
        <v>0</v>
      </c>
      <c r="E4" s="101">
        <f>D4*C4</f>
        <v>0</v>
      </c>
      <c r="F4" s="102" t="e">
        <f>E4/$E$10</f>
        <v>#DIV/0!</v>
      </c>
    </row>
    <row r="5" spans="2:6" x14ac:dyDescent="0.3">
      <c r="B5" s="26">
        <v>2026</v>
      </c>
      <c r="C5" s="25">
        <v>12</v>
      </c>
      <c r="D5" s="63">
        <f>'Orçam. sintético'!$G$9</f>
        <v>0</v>
      </c>
      <c r="E5" s="63">
        <f t="shared" ref="E5:E9" si="0">D5*C5</f>
        <v>0</v>
      </c>
      <c r="F5" s="103" t="e">
        <f t="shared" ref="F5:F9" si="1">E5/$E$10</f>
        <v>#DIV/0!</v>
      </c>
    </row>
    <row r="6" spans="2:6" x14ac:dyDescent="0.3">
      <c r="B6" s="26">
        <v>2027</v>
      </c>
      <c r="C6" s="25">
        <v>12</v>
      </c>
      <c r="D6" s="63">
        <f>'Orçam. sintético'!$G$9</f>
        <v>0</v>
      </c>
      <c r="E6" s="63">
        <f t="shared" si="0"/>
        <v>0</v>
      </c>
      <c r="F6" s="103" t="e">
        <f t="shared" si="1"/>
        <v>#DIV/0!</v>
      </c>
    </row>
    <row r="7" spans="2:6" x14ac:dyDescent="0.3">
      <c r="B7" s="26">
        <v>2028</v>
      </c>
      <c r="C7" s="25">
        <v>12</v>
      </c>
      <c r="D7" s="63">
        <f>'Orçam. sintético'!$G$9</f>
        <v>0</v>
      </c>
      <c r="E7" s="63">
        <f t="shared" si="0"/>
        <v>0</v>
      </c>
      <c r="F7" s="103" t="e">
        <f t="shared" si="1"/>
        <v>#DIV/0!</v>
      </c>
    </row>
    <row r="8" spans="2:6" x14ac:dyDescent="0.3">
      <c r="B8" s="26">
        <v>2029</v>
      </c>
      <c r="C8" s="25">
        <v>12</v>
      </c>
      <c r="D8" s="63">
        <f>'Orçam. sintético'!$G$9</f>
        <v>0</v>
      </c>
      <c r="E8" s="63">
        <f t="shared" si="0"/>
        <v>0</v>
      </c>
      <c r="F8" s="103" t="e">
        <f t="shared" si="1"/>
        <v>#DIV/0!</v>
      </c>
    </row>
    <row r="9" spans="2:6" ht="15" thickBot="1" x14ac:dyDescent="0.35">
      <c r="B9" s="104">
        <v>2030</v>
      </c>
      <c r="C9" s="105">
        <v>7</v>
      </c>
      <c r="D9" s="65">
        <f>'Orçam. sintético'!$G$9</f>
        <v>0</v>
      </c>
      <c r="E9" s="65">
        <f t="shared" si="0"/>
        <v>0</v>
      </c>
      <c r="F9" s="106" t="e">
        <f t="shared" si="1"/>
        <v>#DIV/0!</v>
      </c>
    </row>
    <row r="10" spans="2:6" ht="15" thickBot="1" x14ac:dyDescent="0.35">
      <c r="B10" s="95" t="s">
        <v>21</v>
      </c>
      <c r="C10" s="96">
        <f>SUM(C4:C9)</f>
        <v>60</v>
      </c>
      <c r="D10" s="42"/>
      <c r="E10" s="97">
        <f>SUM(E4:E9)</f>
        <v>0</v>
      </c>
      <c r="F10" s="98">
        <v>1</v>
      </c>
    </row>
    <row r="13" spans="2:6" x14ac:dyDescent="0.3">
      <c r="E13" s="15"/>
    </row>
    <row r="15" spans="2:6" x14ac:dyDescent="0.3">
      <c r="E15" s="15"/>
    </row>
  </sheetData>
  <sheetProtection algorithmName="SHA-512" hashValue="hBPlhcCus4tLp+MidF+rZTnQyKaiie+OO5AeNFE5I5OFPxbF3i4sGGjF4tqHsqfNVIwRputcFO1q1X9pDa5Hpw==" saltValue="o8ZQhuIaYmN3CnD7NDhzwA==" spinCount="100000" sheet="1" objects="1" scenarios="1"/>
  <mergeCells count="1"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J g F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N N h l t q 4 A A A D 4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S 2 1 D O 0 M L f U M 7 D R h 4 n a + G b m I V Q Y A V 0 M k k U S t H E u z S k p L U q 1 K y j R d Q q y 0 Y d x b f S h n r A D A A A A / / 8 D A F B L A w Q U A A I A C A A A A C E A Q g 5 y h K Y A A A D V A A A A E w A A A E Z v c m 1 1 b G F z L 1 N l Y 3 R p b 2 4 x L m 1 s j T 0 L g z A Q h n f B / 3 C k i 4 I I z u J Q p B 2 7 N N B B H K J e q R j v J I l Q E f 9 7 Y + 3 Y W 1 5 4 P 5 6 z 2 L q e C e 6 H Z n k Q 2 J c y 2 I F U D W q V Q Q E a X R i A v y u T Q 2 9 c 3 i 3 q t J y N Q X I P N k P D P E T x W t 3 U i I X 4 L U W 9 V e W + I F c n B + A k Z D 8 x n L V D o z o W n u X L G l N p F N k n m 7 F k P Y 8 k l w l t 9 H 2 X r K v Y T f L A B J w P Q N G y b X E Y 9 P S f m n 8 A A A D / / w M A U E s B A i 0 A F A A G A A g A A A A h A C r d q k D S A A A A N w E A A B M A A A A A A A A A A A A A A A A A A A A A A F t D b 2 5 0 Z W 5 0 X 1 R 5 c G V z X S 5 4 b W x Q S w E C L Q A U A A I A C A A A A C E A N N h l t q 4 A A A D 4 A A A A E g A A A A A A A A A A A A A A A A A L A w A A Q 2 9 u Z m l n L 1 B h Y 2 t h Z 2 U u e G 1 s U E s B A i 0 A F A A C A A g A A A A h A E I O c o S m A A A A 1 Q A A A B M A A A A A A A A A A A A A A A A A 6 Q M A A E Z v c m 1 1 b G F z L 1 N l Y 3 R p b 2 4 x L m 1 Q S w U G A A A A A A M A A w D C A A A A w A Q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k o I A A A A A A A A K A g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U Y W J l b G E x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i 0 y N V Q x M z o y N z o x N i 4 1 N j g x O T U z W i I v P j x F b n R y e S B U e X B l P S J G a W x s Q 2 9 s d W 1 u V H l w Z X M i I F Z h b H V l P S J z Q U E 9 P S I v P j x F b n R y e S B U e X B l P S J G a W x s Q 2 9 s d W 1 u T m F t Z X M i I F Z h b H V l P S J z W y Z x d W 9 0 O 0 N v b H V u Y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Q 0 M z V h M j M z L T c 4 Z T k t N G J j N C 1 h O G Z j L W E y O T N m Y T g 3 O T E y M C I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E x L 0 F 1 d G 9 S Z W 1 v d m V k Q 2 9 s d W 1 u c z E u e 0 N v b H V u Y T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Z W x h M S 9 B d X R v U m V t b 3 Z l Z E N v b H V t b n M x L n t D b 2 x 1 b m E x L D B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l Z 2 H D p 8 O j b y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Z W x h M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Z W x h M S 9 U a X B v J T I w Q W x 0 Z X J h Z G 8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F T x A U 1 N o C N N r d u p W T T X 5 R c A A A A A A g A A A A A A E G Y A A A A B A A A g A A A A 5 b m l 5 k c P P / 1 5 N Q h w d s 2 G l l 5 9 n X h o b X 0 H K X A Z 1 S r k a p 4 A A A A A D o A A A A A C A A A g A A A A G R N p T f 5 g f I j H l y k p Q X 2 v g 4 J R t k h b w 8 q o h 6 v d w d 6 e t n p Q A A A A e p q k t o I Y 1 p G L V / 5 o R B 3 R n X P C r W 1 n e x o q d 2 j 0 j b 7 u M o F y e l a u Q g X p q Z K C l B A K H 4 I s Y a I F T t i K K 2 z A 6 U j 8 F d l + 7 Y m a o q H 4 z n P K f m v j Q B g T O 5 5 A A A A A q l z P m h N V w w e d c w n 4 s 6 T X I y w a 8 g B I x 8 a B E g X g a j / E z Z 2 S R P x Y G T E f h B H 5 D w e 5 E I D g J F w m w 5 J T C L 9 E X c 9 m a M Z x l Q = = < / D a t a M a s h u p > 
</file>

<file path=customXml/itemProps1.xml><?xml version="1.0" encoding="utf-8"?>
<ds:datastoreItem xmlns:ds="http://schemas.openxmlformats.org/officeDocument/2006/customXml" ds:itemID="{0DF07657-66A7-4DE5-8295-3F13D562D446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83e3b852-fcb0-4a87-983d-8e9781d3e9bc}" enabled="0" method="" siteId="{83e3b852-fcb0-4a87-983d-8e9781d3e9b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2</vt:i4>
      </vt:variant>
    </vt:vector>
  </HeadingPairs>
  <TitlesOfParts>
    <vt:vector size="9" baseType="lpstr">
      <vt:lpstr>Dados da Empresa</vt:lpstr>
      <vt:lpstr>Dados de Custos</vt:lpstr>
      <vt:lpstr>Encargos sociais</vt:lpstr>
      <vt:lpstr>Anexo D - Planilha de Preços</vt:lpstr>
      <vt:lpstr>Orçam. sintético</vt:lpstr>
      <vt:lpstr>Orçam. analítico</vt:lpstr>
      <vt:lpstr>Cronograma Físico-Financeiro</vt:lpstr>
      <vt:lpstr>'Dados da Empresa'!Area_de_impressao</vt:lpstr>
      <vt:lpstr>'Orçam. sintético'!Area_de_impressao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 Masella</dc:creator>
  <cp:keywords/>
  <dc:description/>
  <cp:lastModifiedBy>José Salviano Carvalho Costa</cp:lastModifiedBy>
  <cp:revision/>
  <dcterms:created xsi:type="dcterms:W3CDTF">2020-05-08T18:08:10Z</dcterms:created>
  <dcterms:modified xsi:type="dcterms:W3CDTF">2025-06-13T13:53:52Z</dcterms:modified>
  <cp:category/>
  <cp:contentStatus/>
</cp:coreProperties>
</file>