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kim\Desktop\LIMPEZA UNIFICADA\"/>
    </mc:Choice>
  </mc:AlternateContent>
  <xr:revisionPtr revIDLastSave="0" documentId="13_ncr:1_{E1F1090C-7BC2-4C39-87A3-25F223E2A8E5}" xr6:coauthVersionLast="47" xr6:coauthVersionMax="47" xr10:uidLastSave="{00000000-0000-0000-0000-000000000000}"/>
  <bookViews>
    <workbookView xWindow="23929" yWindow="-113" windowWidth="24267" windowHeight="13148" xr2:uid="{00000000-000D-0000-FFFF-FFFF00000000}"/>
  </bookViews>
  <sheets>
    <sheet name="Introdução" sheetId="90" r:id="rId1"/>
    <sheet name="Dados da empresa" sheetId="81" r:id="rId2"/>
    <sheet name="Dados de custos" sheetId="84" r:id="rId3"/>
    <sheet name="Encargos sociais" sheetId="88" r:id="rId4"/>
    <sheet name="Orçam. analítico" sheetId="82" r:id="rId5"/>
    <sheet name="Orçam. sintético" sheetId="83" r:id="rId6"/>
    <sheet name="Cronograma Físico-Financeiro" sheetId="89" r:id="rId7"/>
    <sheet name="Postos" sheetId="85" state="hidden" r:id="rId8"/>
    <sheet name="Elem. de fachada + Jard." sheetId="86" state="hidden" r:id="rId9"/>
  </sheets>
  <externalReferences>
    <externalReference r:id="rId10"/>
  </externalReferences>
  <definedNames>
    <definedName name="Foto">INDIRECT('[1]Anexo A'!$I$15)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84" l="1"/>
  <c r="D23" i="81" l="1"/>
  <c r="D22" i="81"/>
  <c r="I4" i="83"/>
  <c r="I5" i="83"/>
  <c r="I6" i="83"/>
  <c r="I7" i="83"/>
  <c r="I8" i="83"/>
  <c r="I9" i="83"/>
  <c r="I10" i="83"/>
  <c r="I11" i="83"/>
  <c r="I12" i="83"/>
  <c r="I13" i="83"/>
  <c r="I14" i="83"/>
  <c r="I15" i="83"/>
  <c r="D24" i="84"/>
  <c r="E24" i="84"/>
  <c r="J103" i="82"/>
  <c r="J93" i="82"/>
  <c r="J87" i="82"/>
  <c r="J69" i="82"/>
  <c r="J32" i="82"/>
  <c r="J107" i="82"/>
  <c r="J106" i="82"/>
  <c r="J98" i="82"/>
  <c r="J97" i="82"/>
  <c r="J79" i="82"/>
  <c r="J78" i="82"/>
  <c r="J74" i="82"/>
  <c r="J73" i="82"/>
  <c r="J65" i="82"/>
  <c r="J64" i="82"/>
  <c r="J58" i="82"/>
  <c r="J57" i="82"/>
  <c r="J53" i="82"/>
  <c r="J52" i="82"/>
  <c r="J48" i="82"/>
  <c r="J47" i="82"/>
  <c r="J42" i="82"/>
  <c r="J41" i="82"/>
  <c r="J37" i="82"/>
  <c r="J36" i="82"/>
  <c r="J27" i="82"/>
  <c r="J26" i="82"/>
  <c r="J22" i="82"/>
  <c r="J21" i="82"/>
  <c r="J16" i="82"/>
  <c r="J15" i="82"/>
  <c r="J11" i="82"/>
  <c r="J10" i="82"/>
  <c r="J6" i="82"/>
  <c r="J5" i="82"/>
  <c r="D31" i="84"/>
  <c r="D29" i="84" s="1"/>
  <c r="E31" i="84"/>
  <c r="E29" i="84" s="1"/>
  <c r="C31" i="84"/>
  <c r="E41" i="84"/>
  <c r="E39" i="84" s="1"/>
  <c r="E34" i="84"/>
  <c r="E32" i="84" s="1"/>
  <c r="E28" i="84"/>
  <c r="E26" i="84" s="1"/>
  <c r="E25" i="84"/>
  <c r="E21" i="84"/>
  <c r="E18" i="84"/>
  <c r="E17" i="84"/>
  <c r="E19" i="84" s="1"/>
  <c r="E11" i="84"/>
  <c r="I6" i="82" s="1"/>
  <c r="E107" i="82"/>
  <c r="E106" i="82"/>
  <c r="E103" i="82"/>
  <c r="E98" i="82"/>
  <c r="E97" i="82"/>
  <c r="E93" i="82"/>
  <c r="E87" i="82"/>
  <c r="E83" i="82"/>
  <c r="E79" i="82"/>
  <c r="E78" i="82"/>
  <c r="E74" i="82"/>
  <c r="E73" i="82"/>
  <c r="E69" i="82"/>
  <c r="E65" i="82"/>
  <c r="E64" i="82"/>
  <c r="E58" i="82"/>
  <c r="E57" i="82"/>
  <c r="E53" i="82"/>
  <c r="E52" i="82"/>
  <c r="E48" i="82"/>
  <c r="E47" i="82"/>
  <c r="E42" i="82"/>
  <c r="E41" i="82"/>
  <c r="E37" i="82"/>
  <c r="E36" i="82"/>
  <c r="E32" i="82"/>
  <c r="E27" i="82"/>
  <c r="E26" i="82"/>
  <c r="E22" i="82"/>
  <c r="E21" i="82"/>
  <c r="E16" i="82"/>
  <c r="E15" i="82"/>
  <c r="E11" i="82"/>
  <c r="E10" i="82"/>
  <c r="E5" i="82"/>
  <c r="E6" i="82"/>
  <c r="F5" i="85"/>
  <c r="F6" i="85"/>
  <c r="F7" i="85"/>
  <c r="F8" i="85"/>
  <c r="F9" i="85"/>
  <c r="F10" i="85"/>
  <c r="F11" i="85"/>
  <c r="F12" i="85"/>
  <c r="F13" i="85"/>
  <c r="F14" i="85"/>
  <c r="F15" i="85"/>
  <c r="F16" i="85"/>
  <c r="F17" i="85"/>
  <c r="F18" i="85"/>
  <c r="F19" i="85"/>
  <c r="F20" i="85"/>
  <c r="F21" i="85"/>
  <c r="F22" i="85"/>
  <c r="F23" i="85"/>
  <c r="F24" i="85"/>
  <c r="F4" i="85"/>
  <c r="E25" i="85"/>
  <c r="E9" i="82"/>
  <c r="E8" i="82"/>
  <c r="E7" i="82"/>
  <c r="C17" i="84"/>
  <c r="E20" i="84" l="1"/>
  <c r="E16" i="84"/>
  <c r="D17" i="84" l="1"/>
  <c r="D41" i="84"/>
  <c r="C41" i="84"/>
  <c r="D34" i="84"/>
  <c r="C34" i="84"/>
  <c r="D28" i="84"/>
  <c r="C28" i="84"/>
  <c r="C8" i="88"/>
  <c r="C9" i="88"/>
  <c r="C10" i="88"/>
  <c r="C11" i="88"/>
  <c r="C12" i="88"/>
  <c r="C14" i="88"/>
  <c r="C15" i="88"/>
  <c r="C22" i="88"/>
  <c r="C25" i="88"/>
  <c r="C31" i="88"/>
  <c r="C6" i="88" l="1"/>
  <c r="C39" i="88" s="1"/>
  <c r="C38" i="88" l="1"/>
  <c r="C37" i="88" s="1"/>
  <c r="C40" i="88" l="1"/>
  <c r="E45" i="84" s="1"/>
  <c r="E44" i="84" s="1"/>
  <c r="M6" i="82" l="1"/>
  <c r="F25" i="85"/>
  <c r="E19" i="81" l="1"/>
  <c r="C25" i="84" l="1"/>
  <c r="J83" i="82" l="1"/>
  <c r="E110" i="82"/>
  <c r="E109" i="82"/>
  <c r="E108" i="82"/>
  <c r="E105" i="82"/>
  <c r="E104" i="82"/>
  <c r="E102" i="82"/>
  <c r="E101" i="82"/>
  <c r="E100" i="82"/>
  <c r="E99" i="82"/>
  <c r="E96" i="82"/>
  <c r="E95" i="82"/>
  <c r="E94" i="82"/>
  <c r="E92" i="82"/>
  <c r="E91" i="82"/>
  <c r="E90" i="82"/>
  <c r="E89" i="82"/>
  <c r="E88" i="82"/>
  <c r="E86" i="82"/>
  <c r="E85" i="82"/>
  <c r="E84" i="82"/>
  <c r="E82" i="82"/>
  <c r="E81" i="82"/>
  <c r="E80" i="82"/>
  <c r="E77" i="82"/>
  <c r="E76" i="82"/>
  <c r="E75" i="82"/>
  <c r="E72" i="82"/>
  <c r="E71" i="82"/>
  <c r="E70" i="82"/>
  <c r="E68" i="82"/>
  <c r="E67" i="82"/>
  <c r="E66" i="82"/>
  <c r="E63" i="82"/>
  <c r="E62" i="82"/>
  <c r="E61" i="82"/>
  <c r="E60" i="82"/>
  <c r="E59" i="82"/>
  <c r="E56" i="82"/>
  <c r="E55" i="82"/>
  <c r="E54" i="82"/>
  <c r="E51" i="82"/>
  <c r="E50" i="82"/>
  <c r="E49" i="82"/>
  <c r="E46" i="82"/>
  <c r="E45" i="82"/>
  <c r="E44" i="82"/>
  <c r="E43" i="82"/>
  <c r="E40" i="82"/>
  <c r="E39" i="82"/>
  <c r="E38" i="82"/>
  <c r="E35" i="82"/>
  <c r="E34" i="82"/>
  <c r="E33" i="82"/>
  <c r="E31" i="82"/>
  <c r="E30" i="82"/>
  <c r="E29" i="82"/>
  <c r="E28" i="82"/>
  <c r="E25" i="82"/>
  <c r="E24" i="82"/>
  <c r="E23" i="82"/>
  <c r="E20" i="82"/>
  <c r="E19" i="82"/>
  <c r="E18" i="82"/>
  <c r="E17" i="82"/>
  <c r="E13" i="82"/>
  <c r="E14" i="82"/>
  <c r="E12" i="82"/>
  <c r="D25" i="85"/>
  <c r="C25" i="85"/>
  <c r="D18" i="84" l="1"/>
  <c r="D19" i="84" s="1"/>
  <c r="E21" i="81" l="1"/>
  <c r="D39" i="84"/>
  <c r="C39" i="84"/>
  <c r="D32" i="84"/>
  <c r="C32" i="84"/>
  <c r="D26" i="84"/>
  <c r="C26" i="84"/>
  <c r="D25" i="84"/>
  <c r="D21" i="84"/>
  <c r="C21" i="84"/>
  <c r="C20" i="84" s="1"/>
  <c r="C18" i="84"/>
  <c r="D13" i="84"/>
  <c r="D11" i="84" s="1"/>
  <c r="C11" i="84"/>
  <c r="E28" i="81" l="1"/>
  <c r="E45" i="81"/>
  <c r="E46" i="81"/>
  <c r="E47" i="81"/>
  <c r="E36" i="81"/>
  <c r="E37" i="81"/>
  <c r="E43" i="81"/>
  <c r="E33" i="81"/>
  <c r="E40" i="81"/>
  <c r="E34" i="81"/>
  <c r="E35" i="81"/>
  <c r="E30" i="81"/>
  <c r="E31" i="81"/>
  <c r="E39" i="81"/>
  <c r="E29" i="81"/>
  <c r="E27" i="81"/>
  <c r="E41" i="81"/>
  <c r="E38" i="81"/>
  <c r="E32" i="81"/>
  <c r="E42" i="81"/>
  <c r="E44" i="81"/>
  <c r="I103" i="82"/>
  <c r="I69" i="82"/>
  <c r="I37" i="82"/>
  <c r="I98" i="82"/>
  <c r="I65" i="82"/>
  <c r="I32" i="82"/>
  <c r="I87" i="82"/>
  <c r="I22" i="82"/>
  <c r="I93" i="82"/>
  <c r="I58" i="82"/>
  <c r="I27" i="82"/>
  <c r="I53" i="82"/>
  <c r="I83" i="82"/>
  <c r="I79" i="82"/>
  <c r="I48" i="82"/>
  <c r="I16" i="82"/>
  <c r="I107" i="82"/>
  <c r="I74" i="82"/>
  <c r="I42" i="82"/>
  <c r="I52" i="82"/>
  <c r="I97" i="82"/>
  <c r="I64" i="82"/>
  <c r="I47" i="82"/>
  <c r="I78" i="82"/>
  <c r="I73" i="82"/>
  <c r="I41" i="82"/>
  <c r="I26" i="82"/>
  <c r="I36" i="82"/>
  <c r="I5" i="82"/>
  <c r="I15" i="82"/>
  <c r="I57" i="82"/>
  <c r="I106" i="82"/>
  <c r="I21" i="82"/>
  <c r="C19" i="84"/>
  <c r="I10" i="82"/>
  <c r="I11" i="82"/>
  <c r="D20" i="84"/>
  <c r="E48" i="84" l="1"/>
  <c r="D48" i="84"/>
  <c r="C48" i="84"/>
  <c r="F56" i="82"/>
  <c r="F90" i="82"/>
  <c r="G90" i="82" s="1"/>
  <c r="K13" i="83" s="1"/>
  <c r="F94" i="82"/>
  <c r="F66" i="82"/>
  <c r="F100" i="82"/>
  <c r="F77" i="82"/>
  <c r="F95" i="82"/>
  <c r="F18" i="82"/>
  <c r="F86" i="82"/>
  <c r="E22" i="81"/>
  <c r="F102" i="82"/>
  <c r="F101" i="82"/>
  <c r="F99" i="82"/>
  <c r="F70" i="82"/>
  <c r="F72" i="82"/>
  <c r="F71" i="82"/>
  <c r="F81" i="82"/>
  <c r="F80" i="82"/>
  <c r="D16" i="84"/>
  <c r="C16" i="84"/>
  <c r="F31" i="82" l="1"/>
  <c r="F29" i="82"/>
  <c r="F109" i="82"/>
  <c r="G109" i="82" s="1"/>
  <c r="H109" i="82" s="1"/>
  <c r="F51" i="82"/>
  <c r="G51" i="82" s="1"/>
  <c r="H51" i="82" s="1"/>
  <c r="F75" i="82"/>
  <c r="F76" i="82"/>
  <c r="F96" i="82"/>
  <c r="G96" i="82" s="1"/>
  <c r="H96" i="82" s="1"/>
  <c r="F68" i="82"/>
  <c r="G68" i="82" s="1"/>
  <c r="H68" i="82" s="1"/>
  <c r="F23" i="82"/>
  <c r="G23" i="82" s="1"/>
  <c r="F38" i="82"/>
  <c r="G38" i="82" s="1"/>
  <c r="F45" i="82"/>
  <c r="G45" i="82" s="1"/>
  <c r="H45" i="82" s="1"/>
  <c r="F110" i="82"/>
  <c r="G110" i="82" s="1"/>
  <c r="H110" i="82" s="1"/>
  <c r="F46" i="82"/>
  <c r="G46" i="82" s="1"/>
  <c r="H46" i="82" s="1"/>
  <c r="F30" i="82"/>
  <c r="F49" i="82"/>
  <c r="G49" i="82" s="1"/>
  <c r="F40" i="82"/>
  <c r="G40" i="82" s="1"/>
  <c r="H40" i="82" s="1"/>
  <c r="F39" i="82"/>
  <c r="G39" i="82" s="1"/>
  <c r="H39" i="82" s="1"/>
  <c r="F33" i="82"/>
  <c r="G33" i="82" s="1"/>
  <c r="F34" i="82"/>
  <c r="G34" i="82" s="1"/>
  <c r="H34" i="82" s="1"/>
  <c r="F50" i="82"/>
  <c r="G50" i="82" s="1"/>
  <c r="H50" i="82" s="1"/>
  <c r="F24" i="82"/>
  <c r="G24" i="82" s="1"/>
  <c r="H24" i="82" s="1"/>
  <c r="F54" i="82"/>
  <c r="G54" i="82" s="1"/>
  <c r="F43" i="82"/>
  <c r="G43" i="82" s="1"/>
  <c r="F25" i="82"/>
  <c r="G25" i="82" s="1"/>
  <c r="H25" i="82" s="1"/>
  <c r="F55" i="82"/>
  <c r="F44" i="82"/>
  <c r="F35" i="82"/>
  <c r="G35" i="82" s="1"/>
  <c r="H35" i="82" s="1"/>
  <c r="F108" i="82"/>
  <c r="G108" i="82" s="1"/>
  <c r="F28" i="82"/>
  <c r="G28" i="82" s="1"/>
  <c r="F17" i="82"/>
  <c r="G17" i="82" s="1"/>
  <c r="F20" i="82"/>
  <c r="G20" i="82" s="1"/>
  <c r="H20" i="82" s="1"/>
  <c r="F19" i="82"/>
  <c r="G19" i="82" s="1"/>
  <c r="F104" i="82"/>
  <c r="G104" i="82" s="1"/>
  <c r="F105" i="82"/>
  <c r="G105" i="82" s="1"/>
  <c r="H105" i="82" s="1"/>
  <c r="F67" i="82"/>
  <c r="G67" i="82" s="1"/>
  <c r="H67" i="82" s="1"/>
  <c r="F85" i="82"/>
  <c r="G85" i="82" s="1"/>
  <c r="H85" i="82" s="1"/>
  <c r="F84" i="82"/>
  <c r="G84" i="82" s="1"/>
  <c r="F91" i="82"/>
  <c r="G91" i="82" s="1"/>
  <c r="F92" i="82"/>
  <c r="G92" i="82" s="1"/>
  <c r="H92" i="82" s="1"/>
  <c r="H90" i="82"/>
  <c r="L13" i="83" s="1"/>
  <c r="F9" i="82"/>
  <c r="G9" i="82" s="1"/>
  <c r="F8" i="82"/>
  <c r="G8" i="82" s="1"/>
  <c r="K8" i="83" s="1"/>
  <c r="F7" i="82"/>
  <c r="G7" i="82" s="1"/>
  <c r="K7" i="83" s="1"/>
  <c r="F88" i="82"/>
  <c r="G88" i="82" s="1"/>
  <c r="F89" i="82"/>
  <c r="G89" i="82" s="1"/>
  <c r="H89" i="82" s="1"/>
  <c r="F63" i="82"/>
  <c r="G63" i="82" s="1"/>
  <c r="H63" i="82" s="1"/>
  <c r="F82" i="82"/>
  <c r="G82" i="82" s="1"/>
  <c r="H82" i="82" s="1"/>
  <c r="F59" i="82"/>
  <c r="G59" i="82" s="1"/>
  <c r="F60" i="82"/>
  <c r="G60" i="82" s="1"/>
  <c r="H60" i="82" s="1"/>
  <c r="F61" i="82"/>
  <c r="G61" i="82" s="1"/>
  <c r="K11" i="83" s="1"/>
  <c r="F62" i="82"/>
  <c r="G62" i="82" s="1"/>
  <c r="H62" i="82" s="1"/>
  <c r="F12" i="82"/>
  <c r="G12" i="82" s="1"/>
  <c r="F13" i="82"/>
  <c r="G13" i="82" s="1"/>
  <c r="F14" i="82"/>
  <c r="G14" i="82" s="1"/>
  <c r="H14" i="82" s="1"/>
  <c r="G80" i="82"/>
  <c r="G56" i="82"/>
  <c r="H56" i="82" s="1"/>
  <c r="G95" i="82"/>
  <c r="H95" i="82" s="1"/>
  <c r="G30" i="82"/>
  <c r="H30" i="82" s="1"/>
  <c r="G101" i="82"/>
  <c r="H101" i="82" s="1"/>
  <c r="G86" i="82"/>
  <c r="H86" i="82" s="1"/>
  <c r="G102" i="82"/>
  <c r="H102" i="82" s="1"/>
  <c r="G29" i="82"/>
  <c r="H29" i="82" s="1"/>
  <c r="G66" i="82"/>
  <c r="G75" i="82"/>
  <c r="G31" i="82"/>
  <c r="H31" i="82" s="1"/>
  <c r="G76" i="82"/>
  <c r="H76" i="82" s="1"/>
  <c r="G99" i="82"/>
  <c r="G77" i="82"/>
  <c r="H77" i="82" s="1"/>
  <c r="G100" i="82"/>
  <c r="H100" i="82" s="1"/>
  <c r="G71" i="82"/>
  <c r="H71" i="82" s="1"/>
  <c r="G55" i="82"/>
  <c r="H55" i="82" s="1"/>
  <c r="G44" i="82"/>
  <c r="H44" i="82" s="1"/>
  <c r="G72" i="82"/>
  <c r="H72" i="82" s="1"/>
  <c r="G18" i="82"/>
  <c r="H18" i="82" s="1"/>
  <c r="G70" i="82"/>
  <c r="G81" i="82"/>
  <c r="H81" i="82" s="1"/>
  <c r="G94" i="82"/>
  <c r="C45" i="84"/>
  <c r="C44" i="84" s="1"/>
  <c r="D45" i="84"/>
  <c r="D44" i="84" s="1"/>
  <c r="M5" i="82" l="1"/>
  <c r="K9" i="83"/>
  <c r="K15" i="83"/>
  <c r="H19" i="82"/>
  <c r="L12" i="83" s="1"/>
  <c r="K12" i="83"/>
  <c r="H13" i="82"/>
  <c r="L10" i="83" s="1"/>
  <c r="K10" i="83"/>
  <c r="H91" i="82"/>
  <c r="L14" i="83" s="1"/>
  <c r="K14" i="83"/>
  <c r="E16" i="89"/>
  <c r="E10" i="89"/>
  <c r="H88" i="82"/>
  <c r="H108" i="82"/>
  <c r="H49" i="82"/>
  <c r="H80" i="82"/>
  <c r="H7" i="82"/>
  <c r="L7" i="83" s="1"/>
  <c r="H70" i="82"/>
  <c r="H28" i="82"/>
  <c r="H17" i="82"/>
  <c r="H8" i="82"/>
  <c r="L8" i="83" s="1"/>
  <c r="H9" i="82"/>
  <c r="L15" i="83" s="1"/>
  <c r="H12" i="82"/>
  <c r="H94" i="82"/>
  <c r="H75" i="82"/>
  <c r="H66" i="82"/>
  <c r="H23" i="82"/>
  <c r="H38" i="82"/>
  <c r="H104" i="82"/>
  <c r="H43" i="82"/>
  <c r="H33" i="82"/>
  <c r="H61" i="82"/>
  <c r="L11" i="83" s="1"/>
  <c r="H54" i="82"/>
  <c r="H99" i="82"/>
  <c r="H59" i="82"/>
  <c r="H84" i="82"/>
  <c r="M47" i="82"/>
  <c r="M26" i="82"/>
  <c r="M97" i="82"/>
  <c r="M64" i="82"/>
  <c r="M41" i="82"/>
  <c r="M15" i="82"/>
  <c r="M78" i="82"/>
  <c r="M57" i="82"/>
  <c r="M52" i="82"/>
  <c r="M36" i="82"/>
  <c r="M106" i="82"/>
  <c r="M73" i="82"/>
  <c r="M21" i="82"/>
  <c r="M83" i="82"/>
  <c r="M98" i="82"/>
  <c r="M79" i="82"/>
  <c r="M65" i="82"/>
  <c r="M48" i="82"/>
  <c r="M32" i="82"/>
  <c r="M16" i="82"/>
  <c r="M107" i="82"/>
  <c r="M93" i="82"/>
  <c r="M74" i="82"/>
  <c r="M58" i="82"/>
  <c r="M42" i="82"/>
  <c r="M27" i="82"/>
  <c r="M103" i="82"/>
  <c r="M87" i="82"/>
  <c r="M69" i="82"/>
  <c r="M53" i="82"/>
  <c r="M37" i="82"/>
  <c r="M22" i="82"/>
  <c r="M11" i="82"/>
  <c r="M10" i="82"/>
  <c r="L9" i="83" l="1"/>
  <c r="E17" i="89"/>
  <c r="D7" i="89"/>
  <c r="D13" i="89"/>
  <c r="D16" i="89"/>
  <c r="D10" i="89"/>
  <c r="D17" i="89" l="1"/>
  <c r="C29" i="84" l="1"/>
  <c r="K57" i="82" l="1"/>
  <c r="C15" i="84"/>
  <c r="C38" i="84" s="1"/>
  <c r="C47" i="84" s="1"/>
  <c r="C50" i="84" s="1"/>
  <c r="C52" i="84" s="1"/>
  <c r="K36" i="82"/>
  <c r="K97" i="82"/>
  <c r="K21" i="82"/>
  <c r="K106" i="82"/>
  <c r="K78" i="82"/>
  <c r="K64" i="82"/>
  <c r="K41" i="82"/>
  <c r="K5" i="82"/>
  <c r="K26" i="82"/>
  <c r="K47" i="82"/>
  <c r="K10" i="82"/>
  <c r="K52" i="82"/>
  <c r="K15" i="82"/>
  <c r="K73" i="82"/>
  <c r="L73" i="82" l="1"/>
  <c r="L36" i="82"/>
  <c r="N36" i="82" s="1"/>
  <c r="F36" i="82" s="1"/>
  <c r="G36" i="82" s="1"/>
  <c r="H36" i="82" s="1"/>
  <c r="L64" i="82"/>
  <c r="L26" i="82"/>
  <c r="N26" i="82" s="1"/>
  <c r="L57" i="82"/>
  <c r="N57" i="82" s="1"/>
  <c r="F57" i="82" s="1"/>
  <c r="G57" i="82" s="1"/>
  <c r="H57" i="82" s="1"/>
  <c r="L21" i="82"/>
  <c r="N21" i="82" s="1"/>
  <c r="F21" i="82" s="1"/>
  <c r="G21" i="82" s="1"/>
  <c r="L106" i="82"/>
  <c r="N106" i="82" s="1"/>
  <c r="F106" i="82" s="1"/>
  <c r="G106" i="82" s="1"/>
  <c r="L52" i="82"/>
  <c r="N52" i="82" s="1"/>
  <c r="L15" i="82"/>
  <c r="N15" i="82" s="1"/>
  <c r="L97" i="82"/>
  <c r="N97" i="82" s="1"/>
  <c r="F97" i="82" s="1"/>
  <c r="G97" i="82" s="1"/>
  <c r="H97" i="82" s="1"/>
  <c r="L47" i="82"/>
  <c r="N47" i="82" s="1"/>
  <c r="L10" i="82"/>
  <c r="N10" i="82" s="1"/>
  <c r="L78" i="82"/>
  <c r="N78" i="82" s="1"/>
  <c r="L41" i="82"/>
  <c r="N41" i="82" s="1"/>
  <c r="L5" i="82"/>
  <c r="N5" i="82"/>
  <c r="N64" i="82"/>
  <c r="N73" i="82"/>
  <c r="F73" i="82" s="1"/>
  <c r="G73" i="82" s="1"/>
  <c r="F47" i="82" l="1"/>
  <c r="G47" i="82" s="1"/>
  <c r="H47" i="82" s="1"/>
  <c r="H106" i="82"/>
  <c r="H73" i="82"/>
  <c r="F78" i="82"/>
  <c r="G78" i="82" s="1"/>
  <c r="F52" i="82"/>
  <c r="G52" i="82" s="1"/>
  <c r="F64" i="82"/>
  <c r="G64" i="82" s="1"/>
  <c r="F26" i="82"/>
  <c r="G26" i="82" s="1"/>
  <c r="F5" i="82"/>
  <c r="G5" i="82" s="1"/>
  <c r="K4" i="83" s="1"/>
  <c r="H21" i="82"/>
  <c r="F10" i="82"/>
  <c r="G10" i="82" s="1"/>
  <c r="F41" i="82"/>
  <c r="G41" i="82" s="1"/>
  <c r="F15" i="82"/>
  <c r="G15" i="82" s="1"/>
  <c r="H41" i="82" l="1"/>
  <c r="H15" i="82"/>
  <c r="H64" i="82"/>
  <c r="H26" i="82"/>
  <c r="H52" i="82"/>
  <c r="H10" i="82"/>
  <c r="H5" i="82"/>
  <c r="L4" i="83" s="1"/>
  <c r="H78" i="82"/>
  <c r="K37" i="82" l="1"/>
  <c r="E15" i="84"/>
  <c r="E38" i="84" s="1"/>
  <c r="E47" i="84" s="1"/>
  <c r="E50" i="84" s="1"/>
  <c r="E52" i="84" s="1"/>
  <c r="K22" i="82"/>
  <c r="D15" i="84"/>
  <c r="D38" i="84" s="1"/>
  <c r="D47" i="84" s="1"/>
  <c r="D50" i="84" s="1"/>
  <c r="D52" i="84" s="1"/>
  <c r="L103" i="82" l="1"/>
  <c r="L74" i="82"/>
  <c r="L37" i="82"/>
  <c r="L93" i="82"/>
  <c r="L87" i="82"/>
  <c r="L65" i="82"/>
  <c r="L27" i="82"/>
  <c r="L83" i="82"/>
  <c r="L69" i="82"/>
  <c r="L58" i="82"/>
  <c r="L22" i="82"/>
  <c r="N22" i="82" s="1"/>
  <c r="F22" i="82" s="1"/>
  <c r="G22" i="82" s="1"/>
  <c r="L32" i="82"/>
  <c r="L107" i="82"/>
  <c r="L53" i="82"/>
  <c r="L16" i="82"/>
  <c r="L98" i="82"/>
  <c r="L48" i="82"/>
  <c r="L11" i="82"/>
  <c r="L79" i="82"/>
  <c r="L42" i="82"/>
  <c r="L6" i="82"/>
  <c r="N37" i="82"/>
  <c r="F37" i="82" s="1"/>
  <c r="G37" i="82" s="1"/>
  <c r="K107" i="82"/>
  <c r="N107" i="82" s="1"/>
  <c r="F107" i="82" s="1"/>
  <c r="G107" i="82" s="1"/>
  <c r="K42" i="82"/>
  <c r="K6" i="82"/>
  <c r="K65" i="82"/>
  <c r="K11" i="82"/>
  <c r="K79" i="82"/>
  <c r="K93" i="82"/>
  <c r="K69" i="82"/>
  <c r="K16" i="82"/>
  <c r="K58" i="82"/>
  <c r="K27" i="82"/>
  <c r="K74" i="82"/>
  <c r="K87" i="82"/>
  <c r="K48" i="82"/>
  <c r="K103" i="82"/>
  <c r="K32" i="82"/>
  <c r="K83" i="82"/>
  <c r="K98" i="82"/>
  <c r="K53" i="82"/>
  <c r="N11" i="82" l="1"/>
  <c r="F11" i="82" s="1"/>
  <c r="G11" i="82" s="1"/>
  <c r="H11" i="82" s="1"/>
  <c r="N65" i="82"/>
  <c r="F65" i="82" s="1"/>
  <c r="G65" i="82" s="1"/>
  <c r="H65" i="82" s="1"/>
  <c r="D15" i="83" s="1"/>
  <c r="N42" i="82"/>
  <c r="F42" i="82" s="1"/>
  <c r="G42" i="82" s="1"/>
  <c r="H42" i="82" s="1"/>
  <c r="D11" i="83" s="1"/>
  <c r="N6" i="82"/>
  <c r="F6" i="82" s="1"/>
  <c r="G6" i="82" s="1"/>
  <c r="C7" i="83"/>
  <c r="H22" i="82"/>
  <c r="D7" i="83" s="1"/>
  <c r="N53" i="82"/>
  <c r="F53" i="82" s="1"/>
  <c r="G53" i="82" s="1"/>
  <c r="N69" i="82"/>
  <c r="N16" i="82"/>
  <c r="N83" i="82"/>
  <c r="F83" i="82" s="1"/>
  <c r="G83" i="82" s="1"/>
  <c r="N48" i="82"/>
  <c r="N98" i="82"/>
  <c r="F98" i="82" s="1"/>
  <c r="G98" i="82" s="1"/>
  <c r="N32" i="82"/>
  <c r="F32" i="82" s="1"/>
  <c r="G32" i="82" s="1"/>
  <c r="N74" i="82"/>
  <c r="F74" i="82" s="1"/>
  <c r="G74" i="82" s="1"/>
  <c r="N79" i="82"/>
  <c r="F79" i="82" s="1"/>
  <c r="G79" i="82" s="1"/>
  <c r="N27" i="82"/>
  <c r="C5" i="83"/>
  <c r="N87" i="82"/>
  <c r="F87" i="82" s="1"/>
  <c r="G87" i="82" s="1"/>
  <c r="N58" i="82"/>
  <c r="F58" i="82" s="1"/>
  <c r="G58" i="82" s="1"/>
  <c r="H107" i="82"/>
  <c r="D24" i="83" s="1"/>
  <c r="C24" i="83"/>
  <c r="N93" i="82"/>
  <c r="N103" i="82"/>
  <c r="C10" i="83"/>
  <c r="H37" i="82"/>
  <c r="D10" i="83" s="1"/>
  <c r="D5" i="83" l="1"/>
  <c r="H6" i="82"/>
  <c r="L6" i="83" s="1"/>
  <c r="K6" i="83"/>
  <c r="C11" i="83"/>
  <c r="C15" i="83"/>
  <c r="H58" i="82"/>
  <c r="D14" i="83" s="1"/>
  <c r="C14" i="83"/>
  <c r="C22" i="83"/>
  <c r="H98" i="82"/>
  <c r="D22" i="83" s="1"/>
  <c r="C19" i="83"/>
  <c r="H83" i="82"/>
  <c r="D19" i="83" s="1"/>
  <c r="C9" i="83"/>
  <c r="H32" i="82"/>
  <c r="D9" i="83" s="1"/>
  <c r="H79" i="82"/>
  <c r="D18" i="83" s="1"/>
  <c r="C18" i="83"/>
  <c r="H87" i="82"/>
  <c r="D20" i="83" s="1"/>
  <c r="C20" i="83"/>
  <c r="C13" i="83"/>
  <c r="H53" i="82"/>
  <c r="D13" i="83" s="1"/>
  <c r="F27" i="82"/>
  <c r="G27" i="82" s="1"/>
  <c r="F48" i="82"/>
  <c r="G48" i="82" s="1"/>
  <c r="F16" i="82"/>
  <c r="G16" i="82" s="1"/>
  <c r="H74" i="82"/>
  <c r="D17" i="83" s="1"/>
  <c r="C17" i="83"/>
  <c r="F69" i="82"/>
  <c r="G69" i="82" s="1"/>
  <c r="F103" i="82"/>
  <c r="G103" i="82" s="1"/>
  <c r="F93" i="82"/>
  <c r="G93" i="82" s="1"/>
  <c r="K5" i="83" l="1"/>
  <c r="K16" i="83" s="1"/>
  <c r="C23" i="83"/>
  <c r="H103" i="82"/>
  <c r="D23" i="83" s="1"/>
  <c r="C6" i="83"/>
  <c r="H16" i="82"/>
  <c r="H48" i="82"/>
  <c r="D12" i="83" s="1"/>
  <c r="C12" i="83"/>
  <c r="H69" i="82"/>
  <c r="D16" i="83" s="1"/>
  <c r="C16" i="83"/>
  <c r="C21" i="83"/>
  <c r="H93" i="82"/>
  <c r="D21" i="83" s="1"/>
  <c r="H27" i="82"/>
  <c r="D8" i="83" s="1"/>
  <c r="C8" i="83"/>
  <c r="G111" i="82"/>
  <c r="C4" i="83"/>
  <c r="D6" i="83" l="1"/>
  <c r="L5" i="83"/>
  <c r="C6" i="89"/>
  <c r="F6" i="89" s="1"/>
  <c r="C7" i="89"/>
  <c r="F7" i="89" s="1"/>
  <c r="C16" i="89"/>
  <c r="F16" i="89" s="1"/>
  <c r="C15" i="89"/>
  <c r="F15" i="89" s="1"/>
  <c r="C8" i="89"/>
  <c r="F8" i="89" s="1"/>
  <c r="C9" i="89"/>
  <c r="F9" i="89" s="1"/>
  <c r="C10" i="89"/>
  <c r="F10" i="89" s="1"/>
  <c r="C12" i="89"/>
  <c r="F12" i="89" s="1"/>
  <c r="C13" i="89"/>
  <c r="F13" i="89" s="1"/>
  <c r="C5" i="89"/>
  <c r="C11" i="89"/>
  <c r="F11" i="89" s="1"/>
  <c r="C14" i="89"/>
  <c r="F14" i="89" s="1"/>
  <c r="C25" i="83"/>
  <c r="D4" i="83"/>
  <c r="H111" i="82"/>
  <c r="L16" i="83" l="1"/>
  <c r="F5" i="89"/>
  <c r="C17" i="89"/>
  <c r="D25" i="83"/>
  <c r="M16" i="83" l="1"/>
  <c r="M11" i="83"/>
  <c r="M13" i="83"/>
  <c r="M12" i="83"/>
  <c r="M9" i="83"/>
  <c r="M15" i="83"/>
  <c r="M4" i="83"/>
  <c r="M7" i="83"/>
  <c r="M14" i="83"/>
  <c r="M8" i="83"/>
  <c r="M10" i="83"/>
  <c r="M6" i="83"/>
  <c r="M5" i="83"/>
  <c r="E25" i="83"/>
  <c r="E24" i="83"/>
  <c r="E7" i="83"/>
  <c r="E11" i="83"/>
  <c r="E15" i="83"/>
  <c r="E5" i="83"/>
  <c r="E10" i="83"/>
  <c r="E18" i="83"/>
  <c r="E17" i="83"/>
  <c r="E9" i="83"/>
  <c r="E22" i="83"/>
  <c r="E13" i="83"/>
  <c r="E14" i="83"/>
  <c r="E19" i="83"/>
  <c r="E20" i="83"/>
  <c r="E12" i="83"/>
  <c r="E21" i="83"/>
  <c r="E8" i="83"/>
  <c r="E6" i="83"/>
  <c r="E23" i="83"/>
  <c r="E16" i="83"/>
  <c r="F17" i="89"/>
  <c r="E4" i="83"/>
  <c r="G17" i="89" l="1"/>
  <c r="G14" i="89"/>
  <c r="G13" i="89"/>
  <c r="G8" i="89"/>
  <c r="G9" i="89"/>
  <c r="G7" i="89"/>
  <c r="G15" i="89"/>
  <c r="G10" i="89"/>
  <c r="G11" i="89"/>
  <c r="G6" i="89"/>
  <c r="G16" i="89"/>
  <c r="G12" i="89"/>
  <c r="G5" i="89"/>
</calcChain>
</file>

<file path=xl/sharedStrings.xml><?xml version="1.0" encoding="utf-8"?>
<sst xmlns="http://schemas.openxmlformats.org/spreadsheetml/2006/main" count="1079" uniqueCount="179">
  <si>
    <t>UR</t>
  </si>
  <si>
    <t>-</t>
  </si>
  <si>
    <t>Total</t>
  </si>
  <si>
    <t>Trimestral</t>
  </si>
  <si>
    <t>Item</t>
  </si>
  <si>
    <t>Custo mensal</t>
  </si>
  <si>
    <t>Jardins</t>
  </si>
  <si>
    <t>Vale Refeição</t>
  </si>
  <si>
    <t>Vale Transporte</t>
  </si>
  <si>
    <t>Auxílio Creche</t>
  </si>
  <si>
    <t>Cesta Básica</t>
  </si>
  <si>
    <t>Norma Regulamentadora nº 07</t>
  </si>
  <si>
    <t>Uniformes e EPIs</t>
  </si>
  <si>
    <t>Materiais e Equipamentos</t>
  </si>
  <si>
    <t>BDI</t>
  </si>
  <si>
    <t>Valor</t>
  </si>
  <si>
    <t>Valor Unitário</t>
  </si>
  <si>
    <t>Componentes</t>
  </si>
  <si>
    <t>Administração Central</t>
  </si>
  <si>
    <t>Seguros</t>
  </si>
  <si>
    <t>Lucro</t>
  </si>
  <si>
    <t>PIS</t>
  </si>
  <si>
    <t>COFINS</t>
  </si>
  <si>
    <t>Grupo A - Encargos sociais básicos</t>
  </si>
  <si>
    <t>Previdência Social</t>
  </si>
  <si>
    <t>SESI</t>
  </si>
  <si>
    <t>SENAI</t>
  </si>
  <si>
    <t>INCRA</t>
  </si>
  <si>
    <t>SEBRAE</t>
  </si>
  <si>
    <t>Fundo de Garantia por Tempo de Serviço</t>
  </si>
  <si>
    <t>Grupo B - Tempo remunerado e não trabalhado</t>
  </si>
  <si>
    <t>Férias</t>
  </si>
  <si>
    <t>Ausênsia por enfermidade &lt;= 15 dias</t>
  </si>
  <si>
    <t>Ausênsias legais</t>
  </si>
  <si>
    <t>Licença paternidade</t>
  </si>
  <si>
    <t>Acidente de trabalho</t>
  </si>
  <si>
    <t>Aviso prévio trabalho</t>
  </si>
  <si>
    <t>GRUPO C - Adicional de férias e 13º Salário</t>
  </si>
  <si>
    <t>Adicional de férias</t>
  </si>
  <si>
    <t>13º salário</t>
  </si>
  <si>
    <t>GRUPO D -Obrigações rescisórias</t>
  </si>
  <si>
    <t>Aviso prévio indenizado</t>
  </si>
  <si>
    <t>Incidência do FGTS sobre o aviso prévio indenizado</t>
  </si>
  <si>
    <t>Inc. da multa FGTS e da Contribuição Social sobre os depósitos do FGTS</t>
  </si>
  <si>
    <t>Inc. da multa FGTS e da Contribuição Social sobre o aviso prévio indenizado</t>
  </si>
  <si>
    <t>Inc. da multa FGTS e da Contribuição Social sobre o aviso prévio trabalhado</t>
  </si>
  <si>
    <t>GRUPO E - Aprovisionamento de casos especiais</t>
  </si>
  <si>
    <t>Incidência do Grupo A sobre afastamento por licença maternidade</t>
  </si>
  <si>
    <t>Incidência do FGTS sobre o acidente de trabalho &gt; 15 dias</t>
  </si>
  <si>
    <t>Percentual referente ao abono pecúniário</t>
  </si>
  <si>
    <t>Percentual referente ao reflexo do aviso prévio indenizado sobre férias e 13º salário</t>
  </si>
  <si>
    <t>Incidência do FGTS sobre reflexo do aviso prévio indenizado sobre 13º salário</t>
  </si>
  <si>
    <t>Incidência Grupo A sobre o Grupo B</t>
  </si>
  <si>
    <t>Incidência Grupo A sobre o Grupo C</t>
  </si>
  <si>
    <t>Parcela trabalhador</t>
  </si>
  <si>
    <t>Crédito PIS/COFINS</t>
  </si>
  <si>
    <t>Assistência Médica Familiar</t>
  </si>
  <si>
    <t>Remuneração</t>
  </si>
  <si>
    <t>Insumos diversos</t>
  </si>
  <si>
    <t>Adicional por Acúmulo Função</t>
  </si>
  <si>
    <t>Salário Base</t>
  </si>
  <si>
    <t>Parcela do trabalhador</t>
  </si>
  <si>
    <t>Valor diário</t>
  </si>
  <si>
    <t>Vale adicional - Dia da categoria</t>
  </si>
  <si>
    <t>Unidade</t>
  </si>
  <si>
    <t>Periodicidade</t>
  </si>
  <si>
    <t>Valor Unitário *</t>
  </si>
  <si>
    <t>Mensal</t>
  </si>
  <si>
    <t>CNPJ</t>
  </si>
  <si>
    <t>Razão Social</t>
  </si>
  <si>
    <t>Endereço</t>
  </si>
  <si>
    <t>Telefone</t>
  </si>
  <si>
    <t>Contato</t>
  </si>
  <si>
    <t>Brises-soleil - Sem exposição à Situação de Risco</t>
  </si>
  <si>
    <t>Brises-soleil - Com exposição à Situação de Risco</t>
  </si>
  <si>
    <t>ACM - Sem exposição à Situação de Risco</t>
  </si>
  <si>
    <t>ACM - Com exposição à Situação de Risco</t>
  </si>
  <si>
    <t>Auxiliar de limpeza 44h - Com acúmulo de função</t>
  </si>
  <si>
    <t>Áreas de Jardins e de Elementos de Fachada (m²)</t>
  </si>
  <si>
    <t>Quantidade</t>
  </si>
  <si>
    <t>Posto</t>
  </si>
  <si>
    <t>m²</t>
  </si>
  <si>
    <t>Outros benefícios</t>
  </si>
  <si>
    <t>Encargos sociais e trabalhistas</t>
  </si>
  <si>
    <t>Detalhamento valor unitário</t>
  </si>
  <si>
    <t>Auxiliar de limpeza 44h - Sem acúmulo de função</t>
  </si>
  <si>
    <t>UR-1 - Araçatuba</t>
  </si>
  <si>
    <t>UR-2 - Bauru</t>
  </si>
  <si>
    <t>UR-4 - Marília</t>
  </si>
  <si>
    <t>UR-5 - Presidente Prudente</t>
  </si>
  <si>
    <t>UR-6 - Ribeirão Preto</t>
  </si>
  <si>
    <t>UR-7 - São José dos Campos</t>
  </si>
  <si>
    <t>UR-9 - Sorocaba</t>
  </si>
  <si>
    <t>UR-10 - Araras</t>
  </si>
  <si>
    <t>UR-11 - Fernandópolis</t>
  </si>
  <si>
    <t>UR-12 - Registro</t>
  </si>
  <si>
    <t>UR-13 - Araraquara</t>
  </si>
  <si>
    <t>UR-14 - Guaratinguetá</t>
  </si>
  <si>
    <t>UR-15 - Andradina</t>
  </si>
  <si>
    <t>UR-16 - Itapeva</t>
  </si>
  <si>
    <t>UR-17 - Ituverava</t>
  </si>
  <si>
    <t>UR-18 - Adamantina</t>
  </si>
  <si>
    <t>UR-19 - Mogi Guaçu</t>
  </si>
  <si>
    <t>UR-20 - Santos</t>
  </si>
  <si>
    <t>UR-8 - São José do Rio Preto</t>
  </si>
  <si>
    <t>UR-3 - Campinas</t>
  </si>
  <si>
    <t>Valor unitário mensal</t>
  </si>
  <si>
    <t>Valor total mensal</t>
  </si>
  <si>
    <t>Valor total contrato</t>
  </si>
  <si>
    <t>Prazo contratual (meses)</t>
  </si>
  <si>
    <t>% do total</t>
  </si>
  <si>
    <t>Regime de tributação</t>
  </si>
  <si>
    <t>Seguro contra acidentes de trabalho (SAT) (RATxFAP)</t>
  </si>
  <si>
    <t>E-mail</t>
  </si>
  <si>
    <t>% do faturamento</t>
  </si>
  <si>
    <t>DADOS DA EMPRESA</t>
  </si>
  <si>
    <t>ORÇAMENTO - POR POSTO</t>
  </si>
  <si>
    <t>CÁLCULO DOS ENCARGOS SOCIAIS E TRABALHISTAS</t>
  </si>
  <si>
    <t>ORÇAMENTO - SERVIÇOS POR M²</t>
  </si>
  <si>
    <t>RAT</t>
  </si>
  <si>
    <t>FAP</t>
  </si>
  <si>
    <t>Valor total do contrato</t>
  </si>
  <si>
    <t>TOTAL DOS ENCARGOS SOCIAIS (Percentual do salário base)</t>
  </si>
  <si>
    <t>Salário-educação</t>
  </si>
  <si>
    <t xml:space="preserve">COMPONENTES DO BDI </t>
  </si>
  <si>
    <t>DADOS DOS MUNICÍPIOS - VALE TRANSPORTE, ISS E RESULTADO BDI</t>
  </si>
  <si>
    <t>A empresa utiliza crédito de PIS/Cofins?</t>
  </si>
  <si>
    <t>CRONOGRAMA FÍSICO-FINANCEIRO</t>
  </si>
  <si>
    <t>Mês</t>
  </si>
  <si>
    <t>Total mensal</t>
  </si>
  <si>
    <t>BDI - Calculado de acordo com a seguinte fórmula:</t>
  </si>
  <si>
    <t>Observações:</t>
  </si>
  <si>
    <t>Lucro bruto</t>
  </si>
  <si>
    <t>Despesas indiretas</t>
  </si>
  <si>
    <t>Despesas fiscais</t>
  </si>
  <si>
    <t>*Não considerar o valor do BDI</t>
  </si>
  <si>
    <t>(1) Remuneração</t>
  </si>
  <si>
    <t>(2) Benefícios mensais e diários</t>
  </si>
  <si>
    <t>(3) Insumos diversos</t>
  </si>
  <si>
    <t>(4) Encargos Sociais e Trabalhistas</t>
  </si>
  <si>
    <t>(5) BDI</t>
  </si>
  <si>
    <t>Percentual sobre os itens (1)+(2)+(3)+(4)</t>
  </si>
  <si>
    <t>Percentual sobre o salário base</t>
  </si>
  <si>
    <t>Total - valor unitário mensal - (1)+(2)+(3)+(4)+(5)</t>
  </si>
  <si>
    <t xml:space="preserve">GRUPO F – Incidências cumulativas - Incidência Grupo A x (Grupos B + C) </t>
  </si>
  <si>
    <t>Valor do desconto por dia não trabalhado</t>
  </si>
  <si>
    <t>ORÇAMENTO SINTÉTICO - CONSOLIDADO POR ITEM</t>
  </si>
  <si>
    <t>INSTRUÇÕES PARA PREENCHIMENTO</t>
  </si>
  <si>
    <t>% de Desembolso</t>
  </si>
  <si>
    <t>Dias efetivamente trabalhados por mês</t>
  </si>
  <si>
    <t>Periodicidade do pagamento</t>
  </si>
  <si>
    <t>Benefício social</t>
  </si>
  <si>
    <r>
      <t xml:space="preserve">• Preencher apenas as células destacadas em </t>
    </r>
    <r>
      <rPr>
        <b/>
        <sz val="10"/>
        <color rgb="FF0070C0"/>
        <rFont val="Calibri"/>
        <family val="2"/>
        <scheme val="minor"/>
      </rPr>
      <t>azul</t>
    </r>
    <r>
      <rPr>
        <b/>
        <sz val="10"/>
        <rFont val="Calibri"/>
        <family val="2"/>
        <scheme val="minor"/>
      </rPr>
      <t>, nas abas "Dados da empresa", "Dados do orçamento" e "Encargos sociais";</t>
    </r>
    <r>
      <rPr>
        <b/>
        <sz val="10"/>
        <color theme="1"/>
        <rFont val="Calibri"/>
        <family val="2"/>
        <scheme val="minor"/>
      </rPr>
      <t xml:space="preserve">
• Arredondar valores para a segunda casa decimal.</t>
    </r>
  </si>
  <si>
    <r>
      <t xml:space="preserve">• Preencher apenas as células destacadas em </t>
    </r>
    <r>
      <rPr>
        <b/>
        <sz val="10"/>
        <color rgb="FF0070C0"/>
        <rFont val="Calibri"/>
        <family val="2"/>
        <scheme val="minor"/>
      </rPr>
      <t>azul</t>
    </r>
    <r>
      <rPr>
        <b/>
        <sz val="10"/>
        <color theme="1"/>
        <rFont val="Calibri"/>
        <family val="2"/>
        <scheme val="minor"/>
      </rPr>
      <t>;
• Arredondar valores para a quarta casa decimal;
• Os valores deverão ser preenchidos com os percentuais próprios da empresa, tendo por base a sua realidade.</t>
    </r>
  </si>
  <si>
    <t>ORÇAMENTO ANALÍTICO</t>
  </si>
  <si>
    <t>Capital</t>
  </si>
  <si>
    <t>Local</t>
  </si>
  <si>
    <t>Postos de Trabalho por Local</t>
  </si>
  <si>
    <t>Vidros externos - Frequência Trimestral - Sem Exposição à Situação de Risco</t>
  </si>
  <si>
    <t>Vidros externos - Frequência Trimestral - Com Exposição à Situação de Risco</t>
  </si>
  <si>
    <t>Vidros externos - Frequência Semestral - Sem Exposição à Situação de Risco</t>
  </si>
  <si>
    <t>Vidros externos - Frequência Semestral - Com Exposição à Situação de Risco</t>
  </si>
  <si>
    <t>Semestral</t>
  </si>
  <si>
    <t>Fonte: CadTerc vol. 3 - 2021 - Jornada 44h Seg. à Sab.</t>
  </si>
  <si>
    <t>Encarregado de auxiliar de limpeza</t>
  </si>
  <si>
    <t>Fonte: CadTerc Vol. 3. - 2021</t>
  </si>
  <si>
    <t>ORÇAMENTO SINTÉTICO - CONSOLIDADO POR UNIDADE</t>
  </si>
  <si>
    <t>ISS - Fonte: códigos tributários municipais e outras legislações pertinentes. Pesquisa realizada em: 10/05/2021. Serviço considerado: Lei Complementar nº 123 - Item 7.10 – Limpeza, manutenção e conservação de vias e logradouros públicos, imóveis, chaminés, piscinas, parques, jardins e congêneres.</t>
  </si>
  <si>
    <t>Alíquota ISS</t>
  </si>
  <si>
    <r>
      <t xml:space="preserve">• Preencher apenas as células destacadas em </t>
    </r>
    <r>
      <rPr>
        <b/>
        <sz val="10"/>
        <color rgb="FF0070C0"/>
        <rFont val="Calibri"/>
        <family val="2"/>
        <scheme val="minor"/>
      </rPr>
      <t xml:space="preserve">azul;
</t>
    </r>
    <r>
      <rPr>
        <b/>
        <sz val="10"/>
        <rFont val="Calibri"/>
        <family val="2"/>
        <scheme val="minor"/>
      </rPr>
      <t>• Os valores inseridos se aplicam a todas Unidades do TCE-SP</t>
    </r>
    <r>
      <rPr>
        <b/>
        <sz val="10"/>
        <color theme="1"/>
        <rFont val="Calibri"/>
        <family val="2"/>
        <scheme val="minor"/>
      </rPr>
      <t>;
• Arredondar valores para a segunda casa decimal;
• Não inserir valores menores do que os estabelecidos na Convenção Coletiva da categoria.</t>
    </r>
  </si>
  <si>
    <t>Vale transporte - Fonte: decretos municipais pertinentes. Pesquisa realizada em 18/01/2022. Para a cidade de Andradina, por não existir linha oficial, foi adotado como valor de tarifa a média das tarifas das outras cidades. Caso tenha havido alguma alteração nas tarifas caberá ao licitante informar o novo valor.</t>
  </si>
  <si>
    <t>Ao
Tribunal de Contas do Estado de São Paulo 
Pregão Eletrônico nº __/22
SEI – Processo nº 16723/2021-63
Objeto: Contratação unificada de serviços contínuos de limpeza, asseio e conservação predial, com a disponibilização de mão de obra, saneantes domissanitários, materiais e equipamentos, incluindo os serviços de copeiragem e de jardinagem, para a Sede e Unidades Regionais do Tribunal de Contas do Estado de São Paulo.</t>
  </si>
  <si>
    <t>OBS: As tabelas deste arquivo estão disponibilizadas como arquivos eletrônicos no formato para “Word”, assim como no formato para “Excel” (disponíveis no endereço eletrônico www.tce.sp.gov.br/licitacao/licitacoes). O uso da planilha no formato para Excel é facultativo, e o licitante poderá optar por qualquer uma das duas possibilidades.</t>
  </si>
  <si>
    <t>Ao entregar esta Proposta, o Licitante declara, sob as penas da lei, de que o objeto ofertado atende a todas as especificações exigidas no Termo de Referência - Anexo I do Edital.</t>
  </si>
  <si>
    <t>Ao entregar esta Proposta, o Licitante declara que o preço apresentado contempla todos os custos diretos e indiretos referentes ao objeto licitado.</t>
  </si>
  <si>
    <t>Antes de encaminhar este arquivo, certifique-se de sua correção no preenchimento de preços em relação ao valor final negociado e quanto a sua conformidade ao solicitado neste modelo, pois será possível o envio de um único documento, não sendo permitida, através do sistema BEC, a sua substituição ou a inclusão de quaisquer outros arquivos.</t>
  </si>
  <si>
    <t>INSTRUÇÕES GERAIS PARA PREENCHIMENTO DAS TABELAS:</t>
  </si>
  <si>
    <t>A fim de se evitar erros de arredondamento, a opção "Definir Precisão conforme Exibido" deve estar ativada:			
"No Excel, clicar em Arquivo/Opções/Avançado. Em seguida, em ""Ao calcular essa pasta de trabalho"", 
selecione a caixa de seleção ""Definir precisão conforme exibido"" e clique em ""OK"" (essas instruções podem diferir a depender da versão do Excel)."</t>
  </si>
  <si>
    <t>DECLARAÇÕES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</si>
</sst>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&quot;R$&quot;\ #,##0.00;\-&quot;R$&quot;\ #,##0.00"/>
    <numFmt numFmtId="165" formatCode="&quot;R$&quot;\ #,##0.00;[Red]\-&quot;R$&quot;\ #,##0.00"/>
    <numFmt numFmtId="166" formatCode="&quot;R$&quot;\ #,##0.00"/>
    <numFmt numFmtId="167" formatCode="0;0;\-"/>
    <numFmt numFmtId="168" formatCode="0.00;0.00;\-"/>
    <numFmt numFmtId="169" formatCode="0.00;;\-"/>
    <numFmt numFmtId="170" formatCode="&quot;R$&quot;\ #,##0.00;\-&quot;R$&quot;\ #,##0.00;\-"/>
    <numFmt numFmtId="171" formatCode="0;;\-"/>
    <numFmt numFmtId="172" formatCode="0.0000%"/>
    <numFmt numFmtId="173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166" fontId="4" fillId="2" borderId="0" xfId="2" applyNumberFormat="1" applyFont="1" applyFill="1" applyBorder="1" applyAlignment="1" applyProtection="1">
      <alignment horizontal="right" vertical="center"/>
    </xf>
    <xf numFmtId="165" fontId="4" fillId="2" borderId="0" xfId="2" applyNumberFormat="1" applyFont="1" applyFill="1" applyBorder="1" applyAlignment="1" applyProtection="1">
      <alignment horizontal="right" vertical="center"/>
    </xf>
    <xf numFmtId="0" fontId="3" fillId="0" borderId="31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center" vertical="center"/>
    </xf>
    <xf numFmtId="0" fontId="7" fillId="6" borderId="28" xfId="0" applyFont="1" applyFill="1" applyBorder="1" applyAlignment="1" applyProtection="1">
      <alignment horizontal="left" vertical="center" wrapText="1" indent="2"/>
    </xf>
    <xf numFmtId="165" fontId="7" fillId="6" borderId="0" xfId="2" applyNumberFormat="1" applyFont="1" applyFill="1" applyBorder="1" applyAlignment="1" applyProtection="1">
      <alignment horizontal="right" vertical="center"/>
    </xf>
    <xf numFmtId="165" fontId="4" fillId="6" borderId="0" xfId="2" applyNumberFormat="1" applyFont="1" applyFill="1" applyBorder="1" applyAlignment="1" applyProtection="1">
      <alignment horizontal="right" vertical="center"/>
    </xf>
    <xf numFmtId="165" fontId="3" fillId="6" borderId="0" xfId="2" applyNumberFormat="1" applyFont="1" applyFill="1" applyBorder="1" applyAlignment="1" applyProtection="1">
      <alignment horizontal="right" vertical="center"/>
    </xf>
    <xf numFmtId="0" fontId="7" fillId="6" borderId="28" xfId="0" applyFont="1" applyFill="1" applyBorder="1" applyAlignment="1" applyProtection="1">
      <alignment horizontal="left" vertical="center" wrapText="1" indent="4"/>
    </xf>
    <xf numFmtId="0" fontId="7" fillId="6" borderId="28" xfId="0" applyFont="1" applyFill="1" applyBorder="1" applyAlignment="1" applyProtection="1">
      <alignment horizontal="left" vertical="center" wrapText="1" indent="6"/>
    </xf>
    <xf numFmtId="165" fontId="4" fillId="6" borderId="0" xfId="0" applyNumberFormat="1" applyFont="1" applyFill="1" applyBorder="1" applyAlignment="1" applyProtection="1">
      <alignment horizontal="right" vertical="center"/>
    </xf>
    <xf numFmtId="165" fontId="3" fillId="6" borderId="0" xfId="0" applyNumberFormat="1" applyFont="1" applyFill="1" applyBorder="1" applyAlignment="1" applyProtection="1">
      <alignment horizontal="right" vertical="center"/>
    </xf>
    <xf numFmtId="166" fontId="3" fillId="6" borderId="0" xfId="2" applyNumberFormat="1" applyFont="1" applyFill="1" applyBorder="1" applyAlignment="1" applyProtection="1">
      <alignment horizontal="right" vertical="center"/>
    </xf>
    <xf numFmtId="0" fontId="3" fillId="6" borderId="28" xfId="0" applyFont="1" applyFill="1" applyBorder="1" applyAlignment="1" applyProtection="1">
      <alignment horizontal="left" vertical="center" indent="4"/>
    </xf>
    <xf numFmtId="9" fontId="7" fillId="6" borderId="28" xfId="1" applyFont="1" applyFill="1" applyBorder="1" applyAlignment="1" applyProtection="1">
      <alignment horizontal="left" vertical="center" wrapText="1" indent="4"/>
    </xf>
    <xf numFmtId="166" fontId="7" fillId="6" borderId="0" xfId="1" applyNumberFormat="1" applyFont="1" applyFill="1" applyBorder="1" applyAlignment="1" applyProtection="1">
      <alignment horizontal="right" vertical="center"/>
    </xf>
    <xf numFmtId="10" fontId="3" fillId="6" borderId="0" xfId="1" applyNumberFormat="1" applyFont="1" applyFill="1" applyBorder="1" applyAlignment="1" applyProtection="1">
      <alignment horizontal="right" vertical="center"/>
    </xf>
    <xf numFmtId="166" fontId="3" fillId="6" borderId="0" xfId="1" applyNumberFormat="1" applyFont="1" applyFill="1" applyBorder="1" applyAlignment="1" applyProtection="1">
      <alignment horizontal="right" vertical="center"/>
    </xf>
    <xf numFmtId="166" fontId="3" fillId="6" borderId="35" xfId="1" applyNumberFormat="1" applyFont="1" applyFill="1" applyBorder="1" applyAlignment="1" applyProtection="1">
      <alignment horizontal="right" vertical="center"/>
    </xf>
    <xf numFmtId="166" fontId="3" fillId="6" borderId="36" xfId="1" applyNumberFormat="1" applyFont="1" applyFill="1" applyBorder="1" applyAlignment="1" applyProtection="1">
      <alignment horizontal="right" vertical="center"/>
    </xf>
    <xf numFmtId="166" fontId="4" fillId="6" borderId="26" xfId="2" applyNumberFormat="1" applyFont="1" applyFill="1" applyBorder="1" applyAlignment="1" applyProtection="1">
      <alignment horizontal="right" vertical="center"/>
    </xf>
    <xf numFmtId="0" fontId="0" fillId="6" borderId="0" xfId="0" applyFill="1"/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67" fontId="0" fillId="3" borderId="18" xfId="0" applyNumberFormat="1" applyFill="1" applyBorder="1" applyAlignment="1">
      <alignment horizontal="center" vertical="center"/>
    </xf>
    <xf numFmtId="167" fontId="0" fillId="3" borderId="19" xfId="0" applyNumberFormat="1" applyFill="1" applyBorder="1" applyAlignment="1">
      <alignment horizontal="center" vertical="center"/>
    </xf>
    <xf numFmtId="167" fontId="0" fillId="0" borderId="18" xfId="0" applyNumberFormat="1" applyBorder="1" applyAlignment="1">
      <alignment horizontal="center" vertical="center"/>
    </xf>
    <xf numFmtId="167" fontId="0" fillId="0" borderId="19" xfId="0" applyNumberFormat="1" applyBorder="1" applyAlignment="1">
      <alignment horizontal="center" vertical="center"/>
    </xf>
    <xf numFmtId="167" fontId="0" fillId="0" borderId="13" xfId="0" applyNumberFormat="1" applyBorder="1" applyAlignment="1">
      <alignment horizontal="center" vertical="center"/>
    </xf>
    <xf numFmtId="167" fontId="0" fillId="0" borderId="14" xfId="0" applyNumberFormat="1" applyBorder="1" applyAlignment="1">
      <alignment horizontal="center" vertical="center"/>
    </xf>
    <xf numFmtId="167" fontId="0" fillId="3" borderId="14" xfId="0" applyNumberFormat="1" applyFill="1" applyBorder="1" applyAlignment="1">
      <alignment horizontal="center" vertical="center"/>
    </xf>
    <xf numFmtId="167" fontId="0" fillId="0" borderId="40" xfId="0" applyNumberFormat="1" applyBorder="1" applyAlignment="1">
      <alignment horizontal="center" vertical="center"/>
    </xf>
    <xf numFmtId="167" fontId="2" fillId="3" borderId="38" xfId="0" applyNumberFormat="1" applyFont="1" applyFill="1" applyBorder="1" applyAlignment="1">
      <alignment horizontal="center" vertical="center"/>
    </xf>
    <xf numFmtId="167" fontId="2" fillId="3" borderId="23" xfId="0" applyNumberFormat="1" applyFont="1" applyFill="1" applyBorder="1" applyAlignment="1">
      <alignment horizontal="center" vertical="center"/>
    </xf>
    <xf numFmtId="168" fontId="0" fillId="3" borderId="18" xfId="0" applyNumberFormat="1" applyFill="1" applyBorder="1" applyAlignment="1">
      <alignment horizontal="center" vertical="center"/>
    </xf>
    <xf numFmtId="168" fontId="0" fillId="3" borderId="19" xfId="0" applyNumberFormat="1" applyFill="1" applyBorder="1" applyAlignment="1">
      <alignment horizontal="center" vertical="center"/>
    </xf>
    <xf numFmtId="168" fontId="0" fillId="3" borderId="41" xfId="0" applyNumberFormat="1" applyFill="1" applyBorder="1" applyAlignment="1">
      <alignment horizontal="center" vertical="center"/>
    </xf>
    <xf numFmtId="168" fontId="0" fillId="3" borderId="42" xfId="0" applyNumberFormat="1" applyFill="1" applyBorder="1" applyAlignment="1">
      <alignment horizontal="center" vertical="center"/>
    </xf>
    <xf numFmtId="168" fontId="0" fillId="3" borderId="43" xfId="0" applyNumberFormat="1" applyFill="1" applyBorder="1" applyAlignment="1">
      <alignment horizontal="center" vertical="center"/>
    </xf>
    <xf numFmtId="168" fontId="0" fillId="0" borderId="18" xfId="0" applyNumberFormat="1" applyBorder="1" applyAlignment="1">
      <alignment horizontal="center" vertical="center"/>
    </xf>
    <xf numFmtId="168" fontId="0" fillId="0" borderId="19" xfId="0" applyNumberFormat="1" applyBorder="1" applyAlignment="1">
      <alignment horizontal="center" vertical="center"/>
    </xf>
    <xf numFmtId="168" fontId="0" fillId="0" borderId="41" xfId="0" applyNumberFormat="1" applyBorder="1" applyAlignment="1">
      <alignment horizontal="center" vertical="center"/>
    </xf>
    <xf numFmtId="168" fontId="0" fillId="0" borderId="42" xfId="0" applyNumberFormat="1" applyBorder="1" applyAlignment="1">
      <alignment horizontal="center" vertical="center"/>
    </xf>
    <xf numFmtId="168" fontId="0" fillId="0" borderId="43" xfId="0" applyNumberForma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14" xfId="0" applyNumberFormat="1" applyBorder="1" applyAlignment="1">
      <alignment horizontal="center" vertical="center"/>
    </xf>
    <xf numFmtId="168" fontId="0" fillId="0" borderId="44" xfId="0" applyNumberFormat="1" applyBorder="1" applyAlignment="1">
      <alignment horizontal="center" vertical="center"/>
    </xf>
    <xf numFmtId="168" fontId="0" fillId="0" borderId="45" xfId="0" applyNumberFormat="1" applyBorder="1" applyAlignment="1">
      <alignment horizontal="center" vertical="center"/>
    </xf>
    <xf numFmtId="168" fontId="0" fillId="3" borderId="14" xfId="0" applyNumberFormat="1" applyFill="1" applyBorder="1" applyAlignment="1">
      <alignment horizontal="center" vertical="center"/>
    </xf>
    <xf numFmtId="168" fontId="0" fillId="3" borderId="44" xfId="0" applyNumberFormat="1" applyFill="1" applyBorder="1" applyAlignment="1">
      <alignment horizontal="center" vertical="center"/>
    </xf>
    <xf numFmtId="168" fontId="0" fillId="0" borderId="46" xfId="0" applyNumberFormat="1" applyBorder="1" applyAlignment="1">
      <alignment horizontal="center" vertical="center"/>
    </xf>
    <xf numFmtId="168" fontId="0" fillId="0" borderId="24" xfId="0" applyNumberFormat="1" applyBorder="1" applyAlignment="1">
      <alignment horizontal="center" vertical="center"/>
    </xf>
    <xf numFmtId="168" fontId="0" fillId="0" borderId="47" xfId="0" applyNumberFormat="1" applyBorder="1" applyAlignment="1">
      <alignment horizontal="center" vertical="center"/>
    </xf>
    <xf numFmtId="168" fontId="0" fillId="0" borderId="40" xfId="0" applyNumberFormat="1" applyBorder="1" applyAlignment="1">
      <alignment horizontal="center" vertical="center"/>
    </xf>
    <xf numFmtId="168" fontId="0" fillId="0" borderId="48" xfId="0" applyNumberFormat="1" applyBorder="1" applyAlignment="1">
      <alignment horizontal="center" vertical="center"/>
    </xf>
    <xf numFmtId="168" fontId="0" fillId="0" borderId="49" xfId="0" applyNumberFormat="1" applyBorder="1" applyAlignment="1">
      <alignment horizontal="center" vertical="center"/>
    </xf>
    <xf numFmtId="168" fontId="2" fillId="3" borderId="38" xfId="0" applyNumberFormat="1" applyFont="1" applyFill="1" applyBorder="1" applyAlignment="1">
      <alignment horizontal="center" vertical="center"/>
    </xf>
    <xf numFmtId="168" fontId="2" fillId="3" borderId="23" xfId="0" applyNumberFormat="1" applyFont="1" applyFill="1" applyBorder="1" applyAlignment="1">
      <alignment horizontal="center" vertical="center"/>
    </xf>
    <xf numFmtId="168" fontId="2" fillId="3" borderId="50" xfId="0" applyNumberFormat="1" applyFont="1" applyFill="1" applyBorder="1" applyAlignment="1">
      <alignment horizontal="center" vertical="center"/>
    </xf>
    <xf numFmtId="168" fontId="2" fillId="3" borderId="51" xfId="0" applyNumberFormat="1" applyFont="1" applyFill="1" applyBorder="1" applyAlignment="1">
      <alignment horizontal="center" vertical="center"/>
    </xf>
    <xf numFmtId="168" fontId="2" fillId="3" borderId="39" xfId="0" applyNumberFormat="1" applyFont="1" applyFill="1" applyBorder="1" applyAlignment="1">
      <alignment horizontal="center" vertical="center"/>
    </xf>
    <xf numFmtId="167" fontId="0" fillId="3" borderId="41" xfId="0" applyNumberFormat="1" applyFill="1" applyBorder="1" applyAlignment="1">
      <alignment horizontal="center" vertical="center"/>
    </xf>
    <xf numFmtId="167" fontId="0" fillId="0" borderId="41" xfId="0" applyNumberFormat="1" applyBorder="1" applyAlignment="1">
      <alignment horizontal="center" vertical="center"/>
    </xf>
    <xf numFmtId="167" fontId="0" fillId="0" borderId="44" xfId="0" applyNumberFormat="1" applyBorder="1" applyAlignment="1">
      <alignment horizontal="center" vertical="center"/>
    </xf>
    <xf numFmtId="167" fontId="0" fillId="3" borderId="44" xfId="0" applyNumberFormat="1" applyFill="1" applyBorder="1" applyAlignment="1">
      <alignment horizontal="center" vertical="center"/>
    </xf>
    <xf numFmtId="167" fontId="0" fillId="0" borderId="47" xfId="0" applyNumberFormat="1" applyBorder="1" applyAlignment="1">
      <alignment horizontal="center" vertical="center"/>
    </xf>
    <xf numFmtId="167" fontId="2" fillId="3" borderId="50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167" fontId="0" fillId="0" borderId="46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3" borderId="37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3" borderId="30" xfId="0" applyFont="1" applyFill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168" fontId="0" fillId="0" borderId="0" xfId="0" applyNumberFormat="1"/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70" fontId="3" fillId="0" borderId="9" xfId="0" applyNumberFormat="1" applyFont="1" applyBorder="1" applyAlignment="1">
      <alignment horizontal="center" vertical="center"/>
    </xf>
    <xf numFmtId="170" fontId="3" fillId="0" borderId="53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0" borderId="5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7" fillId="0" borderId="28" xfId="0" applyFont="1" applyFill="1" applyBorder="1" applyAlignment="1" applyProtection="1">
      <alignment horizontal="left" vertical="center" wrapText="1" indent="4"/>
    </xf>
    <xf numFmtId="170" fontId="3" fillId="0" borderId="11" xfId="0" applyNumberFormat="1" applyFont="1" applyBorder="1" applyAlignment="1">
      <alignment horizontal="center" vertical="center"/>
    </xf>
    <xf numFmtId="10" fontId="3" fillId="0" borderId="59" xfId="1" applyNumberFormat="1" applyFont="1" applyBorder="1" applyAlignment="1">
      <alignment horizontal="center" vertical="center"/>
    </xf>
    <xf numFmtId="10" fontId="3" fillId="0" borderId="27" xfId="1" applyNumberFormat="1" applyFont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165" fontId="4" fillId="0" borderId="51" xfId="0" applyNumberFormat="1" applyFont="1" applyBorder="1" applyAlignment="1">
      <alignment horizontal="center" vertical="center"/>
    </xf>
    <xf numFmtId="170" fontId="4" fillId="0" borderId="51" xfId="0" applyNumberFormat="1" applyFont="1" applyBorder="1" applyAlignment="1">
      <alignment horizontal="center" vertical="center"/>
    </xf>
    <xf numFmtId="10" fontId="4" fillId="0" borderId="3" xfId="1" applyNumberFormat="1" applyFont="1" applyBorder="1" applyAlignment="1">
      <alignment horizontal="center" vertical="center"/>
    </xf>
    <xf numFmtId="165" fontId="0" fillId="6" borderId="0" xfId="0" applyNumberFormat="1" applyFill="1"/>
    <xf numFmtId="0" fontId="2" fillId="0" borderId="61" xfId="0" applyFont="1" applyBorder="1" applyAlignment="1">
      <alignment horizontal="center" vertical="center" wrapText="1"/>
    </xf>
    <xf numFmtId="10" fontId="6" fillId="5" borderId="16" xfId="1" applyNumberFormat="1" applyFont="1" applyFill="1" applyBorder="1" applyAlignment="1" applyProtection="1">
      <alignment horizontal="center" vertical="center"/>
      <protection locked="0"/>
    </xf>
    <xf numFmtId="165" fontId="3" fillId="4" borderId="0" xfId="2" applyNumberFormat="1" applyFont="1" applyFill="1" applyBorder="1" applyAlignment="1" applyProtection="1">
      <alignment horizontal="right" vertical="center"/>
      <protection locked="0"/>
    </xf>
    <xf numFmtId="165" fontId="3" fillId="5" borderId="0" xfId="2" applyNumberFormat="1" applyFont="1" applyFill="1" applyBorder="1" applyAlignment="1" applyProtection="1">
      <alignment horizontal="right" vertical="center"/>
      <protection locked="0"/>
    </xf>
    <xf numFmtId="0" fontId="4" fillId="2" borderId="54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 applyProtection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170" fontId="3" fillId="8" borderId="9" xfId="0" applyNumberFormat="1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left" vertical="center"/>
    </xf>
    <xf numFmtId="165" fontId="3" fillId="8" borderId="9" xfId="0" applyNumberFormat="1" applyFont="1" applyFill="1" applyBorder="1" applyAlignment="1">
      <alignment horizontal="center" vertical="center"/>
    </xf>
    <xf numFmtId="10" fontId="3" fillId="8" borderId="27" xfId="1" applyNumberFormat="1" applyFont="1" applyFill="1" applyBorder="1" applyAlignment="1">
      <alignment horizontal="center" vertical="center"/>
    </xf>
    <xf numFmtId="0" fontId="3" fillId="8" borderId="46" xfId="0" applyFont="1" applyFill="1" applyBorder="1" applyAlignment="1">
      <alignment horizontal="left" vertical="center"/>
    </xf>
    <xf numFmtId="165" fontId="3" fillId="8" borderId="55" xfId="0" applyNumberFormat="1" applyFont="1" applyFill="1" applyBorder="1" applyAlignment="1">
      <alignment horizontal="center" vertical="center"/>
    </xf>
    <xf numFmtId="10" fontId="3" fillId="8" borderId="60" xfId="1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165" fontId="4" fillId="2" borderId="2" xfId="2" applyNumberFormat="1" applyFont="1" applyFill="1" applyBorder="1" applyAlignment="1" applyProtection="1">
      <alignment horizontal="right" vertical="center"/>
    </xf>
    <xf numFmtId="0" fontId="5" fillId="7" borderId="13" xfId="0" applyFont="1" applyFill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5" fillId="7" borderId="18" xfId="0" applyFont="1" applyFill="1" applyBorder="1" applyAlignment="1" applyProtection="1">
      <alignment vertical="center"/>
    </xf>
    <xf numFmtId="0" fontId="5" fillId="0" borderId="38" xfId="0" applyFont="1" applyBorder="1" applyAlignment="1" applyProtection="1">
      <alignment vertical="center"/>
    </xf>
    <xf numFmtId="0" fontId="6" fillId="0" borderId="46" xfId="0" applyFont="1" applyBorder="1" applyAlignment="1" applyProtection="1">
      <alignment vertical="center"/>
    </xf>
    <xf numFmtId="10" fontId="6" fillId="5" borderId="11" xfId="1" applyNumberFormat="1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left" vertical="center" wrapText="1"/>
    </xf>
    <xf numFmtId="10" fontId="6" fillId="5" borderId="54" xfId="1" applyNumberFormat="1" applyFont="1" applyFill="1" applyBorder="1" applyAlignment="1" applyProtection="1">
      <alignment horizontal="center" vertical="center"/>
      <protection locked="0"/>
    </xf>
    <xf numFmtId="10" fontId="6" fillId="0" borderId="21" xfId="1" applyNumberFormat="1" applyFont="1" applyFill="1" applyBorder="1" applyAlignment="1" applyProtection="1">
      <alignment horizontal="center" vertical="center"/>
    </xf>
    <xf numFmtId="170" fontId="3" fillId="9" borderId="9" xfId="0" applyNumberFormat="1" applyFont="1" applyFill="1" applyBorder="1" applyAlignment="1">
      <alignment horizontal="center" vertical="center"/>
    </xf>
    <xf numFmtId="170" fontId="3" fillId="9" borderId="53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9" borderId="46" xfId="0" applyFont="1" applyFill="1" applyBorder="1" applyAlignment="1">
      <alignment horizontal="center" vertical="center"/>
    </xf>
    <xf numFmtId="170" fontId="3" fillId="9" borderId="55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6" fontId="4" fillId="6" borderId="7" xfId="2" applyNumberFormat="1" applyFont="1" applyFill="1" applyBorder="1" applyAlignment="1" applyProtection="1">
      <alignment horizontal="right" vertical="center"/>
    </xf>
    <xf numFmtId="0" fontId="6" fillId="6" borderId="13" xfId="0" applyFont="1" applyFill="1" applyBorder="1" applyAlignment="1" applyProtection="1">
      <alignment vertical="center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4" fontId="3" fillId="6" borderId="14" xfId="2" applyNumberFormat="1" applyFont="1" applyFill="1" applyBorder="1" applyAlignment="1" applyProtection="1">
      <alignment horizontal="center" vertical="center"/>
    </xf>
    <xf numFmtId="3" fontId="3" fillId="6" borderId="23" xfId="2" applyNumberFormat="1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15" xfId="0" applyFont="1" applyFill="1" applyBorder="1" applyAlignment="1" applyProtection="1">
      <alignment horizontal="left" vertical="center"/>
    </xf>
    <xf numFmtId="10" fontId="3" fillId="6" borderId="53" xfId="0" applyNumberFormat="1" applyFont="1" applyFill="1" applyBorder="1" applyAlignment="1" applyProtection="1">
      <alignment horizontal="center" vertical="center"/>
    </xf>
    <xf numFmtId="10" fontId="3" fillId="6" borderId="9" xfId="0" applyNumberFormat="1" applyFont="1" applyFill="1" applyBorder="1" applyAlignment="1" applyProtection="1">
      <alignment horizontal="center" vertical="center"/>
    </xf>
    <xf numFmtId="10" fontId="3" fillId="6" borderId="16" xfId="0" applyNumberFormat="1" applyFont="1" applyFill="1" applyBorder="1" applyAlignment="1" applyProtection="1">
      <alignment horizontal="center" vertical="center"/>
    </xf>
    <xf numFmtId="10" fontId="4" fillId="0" borderId="59" xfId="1" applyNumberFormat="1" applyFont="1" applyBorder="1" applyAlignment="1">
      <alignment horizontal="center" vertical="center"/>
    </xf>
    <xf numFmtId="10" fontId="4" fillId="8" borderId="27" xfId="1" applyNumberFormat="1" applyFont="1" applyFill="1" applyBorder="1" applyAlignment="1">
      <alignment horizontal="center" vertical="center"/>
    </xf>
    <xf numFmtId="10" fontId="4" fillId="0" borderId="27" xfId="1" applyNumberFormat="1" applyFont="1" applyBorder="1" applyAlignment="1">
      <alignment horizontal="center" vertical="center"/>
    </xf>
    <xf numFmtId="10" fontId="4" fillId="8" borderId="60" xfId="1" applyNumberFormat="1" applyFont="1" applyFill="1" applyBorder="1" applyAlignment="1">
      <alignment horizontal="center" vertical="center"/>
    </xf>
    <xf numFmtId="170" fontId="4" fillId="0" borderId="66" xfId="0" applyNumberFormat="1" applyFont="1" applyBorder="1" applyAlignment="1">
      <alignment horizontal="center" vertical="center"/>
    </xf>
    <xf numFmtId="170" fontId="4" fillId="8" borderId="67" xfId="0" applyNumberFormat="1" applyFont="1" applyFill="1" applyBorder="1" applyAlignment="1">
      <alignment horizontal="center" vertical="center"/>
    </xf>
    <xf numFmtId="170" fontId="4" fillId="0" borderId="67" xfId="0" applyNumberFormat="1" applyFont="1" applyBorder="1" applyAlignment="1">
      <alignment horizontal="center" vertical="center"/>
    </xf>
    <xf numFmtId="170" fontId="4" fillId="0" borderId="68" xfId="0" applyNumberFormat="1" applyFont="1" applyBorder="1" applyAlignment="1">
      <alignment horizontal="center" vertical="center"/>
    </xf>
    <xf numFmtId="170" fontId="4" fillId="8" borderId="69" xfId="0" applyNumberFormat="1" applyFont="1" applyFill="1" applyBorder="1" applyAlignment="1">
      <alignment horizontal="center" vertical="center"/>
    </xf>
    <xf numFmtId="170" fontId="4" fillId="0" borderId="26" xfId="0" applyNumberFormat="1" applyFont="1" applyBorder="1" applyAlignment="1">
      <alignment horizontal="center" vertical="center"/>
    </xf>
    <xf numFmtId="10" fontId="4" fillId="0" borderId="71" xfId="1" applyNumberFormat="1" applyFont="1" applyBorder="1" applyAlignment="1">
      <alignment horizontal="center" vertical="center"/>
    </xf>
    <xf numFmtId="170" fontId="0" fillId="6" borderId="0" xfId="0" applyNumberFormat="1" applyFill="1"/>
    <xf numFmtId="164" fontId="0" fillId="6" borderId="0" xfId="0" applyNumberFormat="1" applyFill="1"/>
    <xf numFmtId="0" fontId="5" fillId="2" borderId="51" xfId="0" applyFont="1" applyFill="1" applyBorder="1" applyAlignment="1" applyProtection="1">
      <alignment horizontal="center" vertical="center"/>
    </xf>
    <xf numFmtId="165" fontId="3" fillId="5" borderId="9" xfId="2" applyNumberFormat="1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 wrapText="1"/>
    </xf>
    <xf numFmtId="165" fontId="4" fillId="5" borderId="0" xfId="2" applyNumberFormat="1" applyFont="1" applyFill="1" applyBorder="1" applyAlignment="1" applyProtection="1">
      <alignment horizontal="right" vertical="center"/>
      <protection locked="0"/>
    </xf>
    <xf numFmtId="0" fontId="3" fillId="6" borderId="0" xfId="0" applyFont="1" applyFill="1" applyAlignment="1" applyProtection="1">
      <alignment vertical="center"/>
    </xf>
    <xf numFmtId="0" fontId="3" fillId="6" borderId="0" xfId="0" applyFont="1" applyFill="1" applyAlignment="1" applyProtection="1">
      <alignment horizontal="left" vertical="center"/>
    </xf>
    <xf numFmtId="0" fontId="3" fillId="0" borderId="0" xfId="0" applyFont="1" applyProtection="1"/>
    <xf numFmtId="0" fontId="3" fillId="6" borderId="0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vertical="center"/>
    </xf>
    <xf numFmtId="0" fontId="3" fillId="6" borderId="13" xfId="0" applyFont="1" applyFill="1" applyBorder="1" applyAlignment="1" applyProtection="1">
      <alignment vertical="center"/>
    </xf>
    <xf numFmtId="165" fontId="3" fillId="6" borderId="0" xfId="0" applyNumberFormat="1" applyFont="1" applyFill="1" applyAlignment="1" applyProtection="1">
      <alignment vertical="center"/>
    </xf>
    <xf numFmtId="0" fontId="3" fillId="0" borderId="15" xfId="0" applyFont="1" applyBorder="1" applyAlignment="1" applyProtection="1">
      <alignment vertical="center"/>
    </xf>
    <xf numFmtId="165" fontId="3" fillId="6" borderId="0" xfId="0" applyNumberFormat="1" applyFont="1" applyFill="1" applyAlignment="1" applyProtection="1">
      <alignment horizontal="left" vertical="center"/>
    </xf>
    <xf numFmtId="0" fontId="3" fillId="6" borderId="0" xfId="0" applyFont="1" applyFill="1" applyBorder="1" applyAlignment="1" applyProtection="1">
      <alignment vertical="center"/>
    </xf>
    <xf numFmtId="0" fontId="3" fillId="6" borderId="28" xfId="0" applyFont="1" applyFill="1" applyBorder="1" applyAlignment="1" applyProtection="1">
      <alignment horizontal="left" vertical="center"/>
    </xf>
    <xf numFmtId="0" fontId="3" fillId="6" borderId="33" xfId="0" applyFont="1" applyFill="1" applyBorder="1" applyAlignment="1" applyProtection="1">
      <alignment vertical="center"/>
    </xf>
    <xf numFmtId="0" fontId="3" fillId="6" borderId="28" xfId="0" applyFont="1" applyFill="1" applyBorder="1" applyAlignment="1" applyProtection="1">
      <alignment vertical="center"/>
    </xf>
    <xf numFmtId="165" fontId="3" fillId="5" borderId="53" xfId="2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Protection="1"/>
    <xf numFmtId="0" fontId="3" fillId="6" borderId="0" xfId="0" applyFont="1" applyFill="1" applyAlignment="1" applyProtection="1">
      <alignment horizontal="center" vertical="center"/>
    </xf>
    <xf numFmtId="0" fontId="0" fillId="6" borderId="0" xfId="0" applyFill="1" applyProtection="1"/>
    <xf numFmtId="0" fontId="3" fillId="2" borderId="10" xfId="0" applyFont="1" applyFill="1" applyBorder="1" applyAlignment="1" applyProtection="1">
      <alignment horizontal="center" vertical="center" wrapText="1"/>
    </xf>
    <xf numFmtId="0" fontId="3" fillId="6" borderId="0" xfId="0" applyFont="1" applyFill="1" applyBorder="1" applyProtection="1"/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8" xfId="0" applyFont="1" applyFill="1" applyBorder="1" applyAlignment="1" applyProtection="1">
      <alignment horizontal="center" vertical="center" wrapText="1"/>
    </xf>
    <xf numFmtId="0" fontId="4" fillId="6" borderId="8" xfId="0" applyFont="1" applyFill="1" applyBorder="1" applyAlignment="1" applyProtection="1">
      <alignment horizontal="center" vertical="center" wrapText="1"/>
    </xf>
    <xf numFmtId="0" fontId="4" fillId="6" borderId="54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left" vertical="center"/>
    </xf>
    <xf numFmtId="165" fontId="3" fillId="6" borderId="0" xfId="0" applyNumberFormat="1" applyFont="1" applyFill="1" applyProtection="1"/>
    <xf numFmtId="0" fontId="4" fillId="2" borderId="28" xfId="0" applyFont="1" applyFill="1" applyBorder="1" applyProtection="1"/>
    <xf numFmtId="0" fontId="4" fillId="6" borderId="28" xfId="0" applyFont="1" applyFill="1" applyBorder="1" applyAlignment="1" applyProtection="1">
      <alignment horizontal="left" indent="2"/>
    </xf>
    <xf numFmtId="0" fontId="3" fillId="6" borderId="28" xfId="0" applyFont="1" applyFill="1" applyBorder="1" applyAlignment="1" applyProtection="1">
      <alignment horizontal="left" indent="4"/>
    </xf>
    <xf numFmtId="165" fontId="3" fillId="6" borderId="0" xfId="0" applyNumberFormat="1" applyFont="1" applyFill="1" applyBorder="1" applyAlignment="1" applyProtection="1">
      <alignment horizontal="right"/>
    </xf>
    <xf numFmtId="0" fontId="3" fillId="6" borderId="28" xfId="0" applyFont="1" applyFill="1" applyBorder="1" applyAlignment="1" applyProtection="1">
      <alignment horizontal="left" indent="2"/>
    </xf>
    <xf numFmtId="0" fontId="4" fillId="2" borderId="28" xfId="0" applyFont="1" applyFill="1" applyBorder="1" applyAlignment="1" applyProtection="1">
      <alignment horizontal="left"/>
    </xf>
    <xf numFmtId="172" fontId="3" fillId="6" borderId="0" xfId="1" applyNumberFormat="1" applyFont="1" applyFill="1" applyProtection="1"/>
    <xf numFmtId="0" fontId="4" fillId="2" borderId="28" xfId="0" applyFont="1" applyFill="1" applyBorder="1" applyAlignment="1" applyProtection="1"/>
    <xf numFmtId="0" fontId="3" fillId="0" borderId="28" xfId="0" applyFont="1" applyFill="1" applyBorder="1" applyAlignment="1" applyProtection="1">
      <alignment horizontal="left" indent="2"/>
    </xf>
    <xf numFmtId="0" fontId="3" fillId="6" borderId="34" xfId="0" applyFont="1" applyFill="1" applyBorder="1" applyAlignment="1" applyProtection="1">
      <alignment horizontal="left" indent="4"/>
    </xf>
    <xf numFmtId="0" fontId="4" fillId="6" borderId="29" xfId="0" applyFont="1" applyFill="1" applyBorder="1" applyProtection="1"/>
    <xf numFmtId="0" fontId="3" fillId="0" borderId="0" xfId="0" applyFont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left"/>
    </xf>
    <xf numFmtId="0" fontId="4" fillId="2" borderId="38" xfId="0" applyFont="1" applyFill="1" applyBorder="1" applyAlignment="1" applyProtection="1">
      <alignment horizontal="center" vertical="center" wrapText="1"/>
    </xf>
    <xf numFmtId="0" fontId="3" fillId="0" borderId="53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6" borderId="8" xfId="0" applyFont="1" applyFill="1" applyBorder="1" applyProtection="1"/>
    <xf numFmtId="0" fontId="3" fillId="6" borderId="7" xfId="0" applyFont="1" applyFill="1" applyBorder="1" applyProtection="1"/>
    <xf numFmtId="0" fontId="3" fillId="6" borderId="5" xfId="0" applyFont="1" applyFill="1" applyBorder="1" applyProtection="1"/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 wrapText="1"/>
    </xf>
    <xf numFmtId="0" fontId="3" fillId="6" borderId="0" xfId="0" applyFont="1" applyFill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center" vertical="center"/>
    </xf>
    <xf numFmtId="171" fontId="3" fillId="0" borderId="11" xfId="0" applyNumberFormat="1" applyFont="1" applyBorder="1" applyAlignment="1" applyProtection="1">
      <alignment horizontal="center" vertical="center"/>
    </xf>
    <xf numFmtId="170" fontId="3" fillId="0" borderId="11" xfId="0" applyNumberFormat="1" applyFont="1" applyBorder="1" applyAlignment="1" applyProtection="1">
      <alignment horizontal="center" vertical="center"/>
    </xf>
    <xf numFmtId="170" fontId="3" fillId="0" borderId="12" xfId="0" applyNumberFormat="1" applyFont="1" applyBorder="1" applyAlignment="1" applyProtection="1">
      <alignment horizontal="center" vertical="center"/>
    </xf>
    <xf numFmtId="170" fontId="3" fillId="0" borderId="10" xfId="0" applyNumberFormat="1" applyFont="1" applyBorder="1" applyAlignment="1" applyProtection="1">
      <alignment horizontal="center" vertical="center"/>
    </xf>
    <xf numFmtId="0" fontId="4" fillId="8" borderId="13" xfId="0" applyFont="1" applyFill="1" applyBorder="1" applyAlignment="1" applyProtection="1">
      <alignment horizontal="left" vertical="center"/>
    </xf>
    <xf numFmtId="0" fontId="3" fillId="8" borderId="9" xfId="0" applyFont="1" applyFill="1" applyBorder="1" applyAlignment="1" applyProtection="1">
      <alignment horizontal="left" vertical="center"/>
    </xf>
    <xf numFmtId="0" fontId="3" fillId="8" borderId="9" xfId="0" applyFont="1" applyFill="1" applyBorder="1" applyAlignment="1" applyProtection="1">
      <alignment horizontal="center" vertical="center"/>
    </xf>
    <xf numFmtId="171" fontId="3" fillId="8" borderId="9" xfId="0" applyNumberFormat="1" applyFont="1" applyFill="1" applyBorder="1" applyAlignment="1" applyProtection="1">
      <alignment horizontal="center" vertical="center"/>
    </xf>
    <xf numFmtId="170" fontId="3" fillId="8" borderId="9" xfId="0" applyNumberFormat="1" applyFont="1" applyFill="1" applyBorder="1" applyAlignment="1" applyProtection="1">
      <alignment horizontal="center" vertical="center"/>
    </xf>
    <xf numFmtId="170" fontId="3" fillId="8" borderId="14" xfId="0" applyNumberFormat="1" applyFont="1" applyFill="1" applyBorder="1" applyAlignment="1" applyProtection="1">
      <alignment horizontal="center" vertical="center"/>
    </xf>
    <xf numFmtId="170" fontId="3" fillId="8" borderId="13" xfId="0" applyNumberFormat="1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169" fontId="3" fillId="0" borderId="9" xfId="0" applyNumberFormat="1" applyFont="1" applyBorder="1" applyAlignment="1" applyProtection="1">
      <alignment horizontal="center" vertical="center"/>
    </xf>
    <xf numFmtId="170" fontId="3" fillId="0" borderId="9" xfId="0" applyNumberFormat="1" applyFont="1" applyBorder="1" applyAlignment="1" applyProtection="1">
      <alignment horizontal="center" vertical="center"/>
    </xf>
    <xf numFmtId="170" fontId="3" fillId="0" borderId="14" xfId="0" applyNumberFormat="1" applyFont="1" applyBorder="1" applyAlignment="1" applyProtection="1">
      <alignment horizontal="center" vertical="center"/>
    </xf>
    <xf numFmtId="170" fontId="3" fillId="0" borderId="13" xfId="0" applyNumberFormat="1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/>
    </xf>
    <xf numFmtId="169" fontId="3" fillId="0" borderId="16" xfId="0" applyNumberFormat="1" applyFont="1" applyBorder="1" applyAlignment="1" applyProtection="1">
      <alignment horizontal="center" vertical="center"/>
    </xf>
    <xf numFmtId="170" fontId="3" fillId="0" borderId="16" xfId="0" applyNumberFormat="1" applyFont="1" applyBorder="1" applyAlignment="1" applyProtection="1">
      <alignment horizontal="center" vertical="center"/>
    </xf>
    <xf numFmtId="170" fontId="3" fillId="0" borderId="17" xfId="0" applyNumberFormat="1" applyFont="1" applyBorder="1" applyAlignment="1" applyProtection="1">
      <alignment horizontal="center" vertical="center"/>
    </xf>
    <xf numFmtId="170" fontId="3" fillId="0" borderId="15" xfId="0" applyNumberFormat="1" applyFont="1" applyBorder="1" applyAlignment="1" applyProtection="1">
      <alignment horizontal="center" vertical="center"/>
    </xf>
    <xf numFmtId="171" fontId="3" fillId="0" borderId="9" xfId="0" applyNumberFormat="1" applyFont="1" applyBorder="1" applyAlignment="1" applyProtection="1">
      <alignment horizontal="center" vertical="center"/>
    </xf>
    <xf numFmtId="170" fontId="3" fillId="0" borderId="13" xfId="0" applyNumberFormat="1" applyFont="1" applyBorder="1" applyAlignment="1" applyProtection="1">
      <alignment horizontal="center" vertical="center"/>
    </xf>
    <xf numFmtId="169" fontId="3" fillId="8" borderId="9" xfId="0" applyNumberFormat="1" applyFont="1" applyFill="1" applyBorder="1" applyAlignment="1" applyProtection="1">
      <alignment horizontal="center" vertical="center"/>
    </xf>
    <xf numFmtId="0" fontId="4" fillId="8" borderId="10" xfId="0" applyFont="1" applyFill="1" applyBorder="1" applyAlignment="1" applyProtection="1">
      <alignment horizontal="left" vertical="center"/>
    </xf>
    <xf numFmtId="0" fontId="3" fillId="8" borderId="11" xfId="0" applyFont="1" applyFill="1" applyBorder="1" applyAlignment="1" applyProtection="1">
      <alignment horizontal="left" vertical="center"/>
    </xf>
    <xf numFmtId="0" fontId="3" fillId="8" borderId="11" xfId="0" applyFont="1" applyFill="1" applyBorder="1" applyAlignment="1" applyProtection="1">
      <alignment horizontal="center" vertical="center"/>
    </xf>
    <xf numFmtId="171" fontId="3" fillId="8" borderId="11" xfId="0" applyNumberFormat="1" applyFont="1" applyFill="1" applyBorder="1" applyAlignment="1" applyProtection="1">
      <alignment horizontal="center" vertical="center"/>
    </xf>
    <xf numFmtId="170" fontId="3" fillId="8" borderId="11" xfId="0" applyNumberFormat="1" applyFont="1" applyFill="1" applyBorder="1" applyAlignment="1" applyProtection="1">
      <alignment horizontal="center" vertical="center"/>
    </xf>
    <xf numFmtId="170" fontId="3" fillId="8" borderId="12" xfId="0" applyNumberFormat="1" applyFont="1" applyFill="1" applyBorder="1" applyAlignment="1" applyProtection="1">
      <alignment horizontal="center" vertical="center"/>
    </xf>
    <xf numFmtId="170" fontId="3" fillId="8" borderId="10" xfId="0" applyNumberFormat="1" applyFont="1" applyFill="1" applyBorder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left" vertical="center"/>
    </xf>
    <xf numFmtId="0" fontId="3" fillId="8" borderId="16" xfId="0" applyFont="1" applyFill="1" applyBorder="1" applyAlignment="1" applyProtection="1">
      <alignment horizontal="left" vertical="center"/>
    </xf>
    <xf numFmtId="0" fontId="3" fillId="8" borderId="16" xfId="0" applyFont="1" applyFill="1" applyBorder="1" applyAlignment="1" applyProtection="1">
      <alignment horizontal="center" vertical="center"/>
    </xf>
    <xf numFmtId="169" fontId="3" fillId="8" borderId="16" xfId="0" applyNumberFormat="1" applyFont="1" applyFill="1" applyBorder="1" applyAlignment="1" applyProtection="1">
      <alignment horizontal="center" vertical="center"/>
    </xf>
    <xf numFmtId="170" fontId="3" fillId="8" borderId="16" xfId="0" applyNumberFormat="1" applyFont="1" applyFill="1" applyBorder="1" applyAlignment="1" applyProtection="1">
      <alignment horizontal="center" vertical="center"/>
    </xf>
    <xf numFmtId="170" fontId="3" fillId="8" borderId="17" xfId="0" applyNumberFormat="1" applyFont="1" applyFill="1" applyBorder="1" applyAlignment="1" applyProtection="1">
      <alignment horizontal="center" vertical="center"/>
    </xf>
    <xf numFmtId="170" fontId="3" fillId="8" borderId="15" xfId="0" applyNumberFormat="1" applyFont="1" applyFill="1" applyBorder="1" applyAlignment="1" applyProtection="1">
      <alignment horizontal="center" vertical="center"/>
    </xf>
    <xf numFmtId="165" fontId="3" fillId="6" borderId="0" xfId="0" applyNumberFormat="1" applyFont="1" applyFill="1" applyAlignment="1" applyProtection="1">
      <alignment horizontal="center" vertical="center"/>
    </xf>
    <xf numFmtId="170" fontId="3" fillId="0" borderId="55" xfId="0" applyNumberFormat="1" applyFont="1" applyBorder="1" applyAlignment="1" applyProtection="1">
      <alignment horizontal="center" vertical="center"/>
    </xf>
    <xf numFmtId="0" fontId="4" fillId="8" borderId="38" xfId="0" applyFont="1" applyFill="1" applyBorder="1" applyAlignment="1" applyProtection="1">
      <alignment horizontal="center" vertical="center"/>
    </xf>
    <xf numFmtId="165" fontId="4" fillId="8" borderId="51" xfId="0" applyNumberFormat="1" applyFont="1" applyFill="1" applyBorder="1" applyAlignment="1" applyProtection="1">
      <alignment horizontal="center" vertical="center"/>
    </xf>
    <xf numFmtId="165" fontId="4" fillId="8" borderId="23" xfId="0" applyNumberFormat="1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>
      <alignment horizontal="left" vertical="center"/>
    </xf>
    <xf numFmtId="0" fontId="3" fillId="0" borderId="55" xfId="0" applyFont="1" applyFill="1" applyBorder="1" applyAlignment="1">
      <alignment horizontal="center" vertical="center"/>
    </xf>
    <xf numFmtId="170" fontId="3" fillId="0" borderId="55" xfId="0" applyNumberFormat="1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left" vertical="center"/>
    </xf>
    <xf numFmtId="0" fontId="4" fillId="9" borderId="50" xfId="0" applyFont="1" applyFill="1" applyBorder="1" applyAlignment="1">
      <alignment horizontal="left" vertical="center"/>
    </xf>
    <xf numFmtId="165" fontId="4" fillId="9" borderId="51" xfId="0" applyNumberFormat="1" applyFont="1" applyFill="1" applyBorder="1" applyAlignment="1">
      <alignment horizontal="center" vertical="center"/>
    </xf>
    <xf numFmtId="170" fontId="4" fillId="9" borderId="51" xfId="0" applyNumberFormat="1" applyFont="1" applyFill="1" applyBorder="1" applyAlignment="1">
      <alignment horizontal="center" vertical="center"/>
    </xf>
    <xf numFmtId="10" fontId="4" fillId="9" borderId="3" xfId="1" applyNumberFormat="1" applyFont="1" applyFill="1" applyBorder="1" applyAlignment="1">
      <alignment horizontal="center" vertical="center"/>
    </xf>
    <xf numFmtId="0" fontId="5" fillId="7" borderId="23" xfId="0" applyFont="1" applyFill="1" applyBorder="1" applyAlignment="1" applyProtection="1">
      <alignment horizontal="center" vertical="center"/>
    </xf>
    <xf numFmtId="170" fontId="3" fillId="9" borderId="10" xfId="0" applyNumberFormat="1" applyFont="1" applyFill="1" applyBorder="1" applyAlignment="1" applyProtection="1">
      <alignment horizontal="center" vertical="center"/>
    </xf>
    <xf numFmtId="170" fontId="3" fillId="9" borderId="11" xfId="0" applyNumberFormat="1" applyFont="1" applyFill="1" applyBorder="1" applyAlignment="1" applyProtection="1">
      <alignment horizontal="center" vertical="center"/>
    </xf>
    <xf numFmtId="170" fontId="3" fillId="9" borderId="12" xfId="0" applyNumberFormat="1" applyFont="1" applyFill="1" applyBorder="1" applyAlignment="1" applyProtection="1">
      <alignment horizontal="center" vertical="center"/>
    </xf>
    <xf numFmtId="0" fontId="4" fillId="9" borderId="13" xfId="0" applyFont="1" applyFill="1" applyBorder="1" applyAlignment="1" applyProtection="1">
      <alignment horizontal="left" vertical="center"/>
    </xf>
    <xf numFmtId="0" fontId="4" fillId="9" borderId="15" xfId="0" applyFont="1" applyFill="1" applyBorder="1" applyAlignment="1" applyProtection="1">
      <alignment horizontal="left" vertical="center"/>
    </xf>
    <xf numFmtId="0" fontId="3" fillId="9" borderId="16" xfId="0" applyFont="1" applyFill="1" applyBorder="1" applyAlignment="1" applyProtection="1">
      <alignment horizontal="left" vertical="center"/>
    </xf>
    <xf numFmtId="0" fontId="3" fillId="9" borderId="16" xfId="0" applyFont="1" applyFill="1" applyBorder="1" applyAlignment="1" applyProtection="1">
      <alignment horizontal="center" vertical="center"/>
    </xf>
    <xf numFmtId="169" fontId="3" fillId="9" borderId="16" xfId="0" applyNumberFormat="1" applyFont="1" applyFill="1" applyBorder="1" applyAlignment="1" applyProtection="1">
      <alignment horizontal="center" vertical="center"/>
    </xf>
    <xf numFmtId="170" fontId="3" fillId="9" borderId="16" xfId="0" applyNumberFormat="1" applyFont="1" applyFill="1" applyBorder="1" applyAlignment="1" applyProtection="1">
      <alignment horizontal="center" vertical="center"/>
    </xf>
    <xf numFmtId="170" fontId="3" fillId="9" borderId="17" xfId="0" applyNumberFormat="1" applyFont="1" applyFill="1" applyBorder="1" applyAlignment="1" applyProtection="1">
      <alignment horizontal="center" vertical="center"/>
    </xf>
    <xf numFmtId="170" fontId="3" fillId="9" borderId="15" xfId="0" applyNumberFormat="1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>
      <alignment horizontal="left" vertical="center"/>
    </xf>
    <xf numFmtId="167" fontId="0" fillId="0" borderId="10" xfId="0" applyNumberFormat="1" applyFill="1" applyBorder="1" applyAlignment="1">
      <alignment horizontal="center" vertical="center"/>
    </xf>
    <xf numFmtId="167" fontId="0" fillId="0" borderId="11" xfId="0" applyNumberFormat="1" applyFill="1" applyBorder="1" applyAlignment="1">
      <alignment horizontal="center" vertical="center"/>
    </xf>
    <xf numFmtId="167" fontId="0" fillId="0" borderId="25" xfId="0" applyNumberFormat="1" applyFill="1" applyBorder="1" applyAlignment="1">
      <alignment horizontal="center" vertical="center"/>
    </xf>
    <xf numFmtId="0" fontId="3" fillId="0" borderId="18" xfId="0" applyFont="1" applyBorder="1" applyAlignment="1" applyProtection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168" fontId="0" fillId="0" borderId="18" xfId="0" applyNumberFormat="1" applyFill="1" applyBorder="1" applyAlignment="1">
      <alignment horizontal="center" vertical="center"/>
    </xf>
    <xf numFmtId="168" fontId="0" fillId="0" borderId="19" xfId="0" applyNumberFormat="1" applyFill="1" applyBorder="1" applyAlignment="1">
      <alignment horizontal="center" vertical="center"/>
    </xf>
    <xf numFmtId="168" fontId="0" fillId="0" borderId="41" xfId="0" applyNumberFormat="1" applyFill="1" applyBorder="1" applyAlignment="1">
      <alignment horizontal="center" vertical="center"/>
    </xf>
    <xf numFmtId="168" fontId="0" fillId="0" borderId="42" xfId="0" applyNumberFormat="1" applyFill="1" applyBorder="1" applyAlignment="1">
      <alignment horizontal="center" vertical="center"/>
    </xf>
    <xf numFmtId="168" fontId="0" fillId="0" borderId="43" xfId="0" applyNumberForma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170" fontId="3" fillId="0" borderId="74" xfId="0" applyNumberFormat="1" applyFont="1" applyBorder="1" applyAlignment="1">
      <alignment horizontal="center" vertical="center"/>
    </xf>
    <xf numFmtId="170" fontId="3" fillId="8" borderId="63" xfId="0" applyNumberFormat="1" applyFont="1" applyFill="1" applyBorder="1" applyAlignment="1">
      <alignment horizontal="center" vertical="center"/>
    </xf>
    <xf numFmtId="170" fontId="3" fillId="0" borderId="63" xfId="0" applyNumberFormat="1" applyFont="1" applyBorder="1" applyAlignment="1">
      <alignment horizontal="center" vertical="center"/>
    </xf>
    <xf numFmtId="170" fontId="3" fillId="0" borderId="42" xfId="0" applyNumberFormat="1" applyFont="1" applyBorder="1" applyAlignment="1">
      <alignment horizontal="center" vertical="center"/>
    </xf>
    <xf numFmtId="170" fontId="3" fillId="8" borderId="75" xfId="0" applyNumberFormat="1" applyFont="1" applyFill="1" applyBorder="1" applyAlignment="1">
      <alignment horizontal="center" vertical="center"/>
    </xf>
    <xf numFmtId="170" fontId="3" fillId="8" borderId="55" xfId="0" applyNumberFormat="1" applyFont="1" applyFill="1" applyBorder="1" applyAlignment="1">
      <alignment horizontal="center" vertical="center"/>
    </xf>
    <xf numFmtId="170" fontId="4" fillId="0" borderId="78" xfId="0" applyNumberFormat="1" applyFont="1" applyBorder="1" applyAlignment="1">
      <alignment horizontal="center" vertical="center"/>
    </xf>
    <xf numFmtId="0" fontId="4" fillId="6" borderId="54" xfId="0" applyFont="1" applyFill="1" applyBorder="1" applyAlignment="1" applyProtection="1">
      <alignment horizontal="center" vertical="center" wrapText="1"/>
    </xf>
    <xf numFmtId="167" fontId="0" fillId="0" borderId="79" xfId="0" applyNumberFormat="1" applyFill="1" applyBorder="1" applyAlignment="1">
      <alignment horizontal="center" vertical="center"/>
    </xf>
    <xf numFmtId="167" fontId="0" fillId="3" borderId="42" xfId="0" applyNumberFormat="1" applyFill="1" applyBorder="1" applyAlignment="1">
      <alignment horizontal="center" vertical="center"/>
    </xf>
    <xf numFmtId="167" fontId="0" fillId="0" borderId="42" xfId="0" applyNumberFormat="1" applyBorder="1" applyAlignment="1">
      <alignment horizontal="center" vertical="center"/>
    </xf>
    <xf numFmtId="167" fontId="0" fillId="0" borderId="63" xfId="0" applyNumberFormat="1" applyBorder="1" applyAlignment="1">
      <alignment horizontal="center" vertical="center"/>
    </xf>
    <xf numFmtId="167" fontId="0" fillId="3" borderId="63" xfId="0" applyNumberFormat="1" applyFill="1" applyBorder="1" applyAlignment="1">
      <alignment horizontal="center" vertical="center"/>
    </xf>
    <xf numFmtId="167" fontId="0" fillId="0" borderId="35" xfId="0" applyNumberFormat="1" applyBorder="1" applyAlignment="1">
      <alignment horizontal="center" vertical="center"/>
    </xf>
    <xf numFmtId="167" fontId="2" fillId="3" borderId="26" xfId="0" applyNumberFormat="1" applyFont="1" applyFill="1" applyBorder="1" applyAlignment="1">
      <alignment horizontal="center" vertical="center"/>
    </xf>
    <xf numFmtId="167" fontId="0" fillId="3" borderId="9" xfId="0" applyNumberFormat="1" applyFill="1" applyBorder="1" applyAlignment="1">
      <alignment horizontal="center" vertical="center"/>
    </xf>
    <xf numFmtId="0" fontId="4" fillId="0" borderId="28" xfId="0" applyFont="1" applyFill="1" applyBorder="1" applyAlignment="1" applyProtection="1">
      <alignment horizontal="left" indent="2"/>
    </xf>
    <xf numFmtId="166" fontId="4" fillId="6" borderId="80" xfId="2" applyNumberFormat="1" applyFont="1" applyFill="1" applyBorder="1" applyAlignment="1" applyProtection="1">
      <alignment horizontal="right" vertical="center"/>
    </xf>
    <xf numFmtId="0" fontId="3" fillId="9" borderId="18" xfId="0" applyFont="1" applyFill="1" applyBorder="1" applyAlignment="1">
      <alignment horizontal="left" vertical="center"/>
    </xf>
    <xf numFmtId="0" fontId="3" fillId="9" borderId="53" xfId="0" applyFont="1" applyFill="1" applyBorder="1" applyAlignment="1">
      <alignment horizontal="center" vertical="center"/>
    </xf>
    <xf numFmtId="165" fontId="3" fillId="5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21" xfId="0" applyFont="1" applyFill="1" applyBorder="1" applyAlignment="1">
      <alignment horizontal="center" vertical="center" wrapText="1"/>
    </xf>
    <xf numFmtId="173" fontId="3" fillId="0" borderId="27" xfId="1" applyNumberFormat="1" applyFont="1" applyBorder="1" applyAlignment="1">
      <alignment horizontal="center" vertical="center"/>
    </xf>
    <xf numFmtId="173" fontId="3" fillId="9" borderId="59" xfId="1" applyNumberFormat="1" applyFont="1" applyFill="1" applyBorder="1" applyAlignment="1">
      <alignment horizontal="center" vertical="center"/>
    </xf>
    <xf numFmtId="173" fontId="3" fillId="8" borderId="27" xfId="1" applyNumberFormat="1" applyFont="1" applyFill="1" applyBorder="1" applyAlignment="1">
      <alignment horizontal="center" vertical="center"/>
    </xf>
    <xf numFmtId="173" fontId="3" fillId="0" borderId="60" xfId="1" applyNumberFormat="1" applyFont="1" applyFill="1" applyBorder="1" applyAlignment="1">
      <alignment horizontal="center" vertical="center"/>
    </xf>
    <xf numFmtId="0" fontId="6" fillId="0" borderId="76" xfId="0" applyFont="1" applyFill="1" applyBorder="1" applyAlignment="1" applyProtection="1">
      <alignment vertical="center"/>
    </xf>
    <xf numFmtId="0" fontId="6" fillId="0" borderId="64" xfId="0" applyFont="1" applyFill="1" applyBorder="1" applyAlignment="1" applyProtection="1">
      <alignment vertical="center"/>
    </xf>
    <xf numFmtId="0" fontId="6" fillId="0" borderId="81" xfId="0" applyFont="1" applyFill="1" applyBorder="1" applyAlignment="1" applyProtection="1">
      <alignment vertical="center"/>
    </xf>
    <xf numFmtId="0" fontId="5" fillId="2" borderId="81" xfId="0" applyFont="1" applyFill="1" applyBorder="1" applyAlignment="1" applyProtection="1">
      <alignment vertical="center"/>
    </xf>
    <xf numFmtId="0" fontId="3" fillId="6" borderId="29" xfId="0" applyFont="1" applyFill="1" applyBorder="1" applyAlignment="1" applyProtection="1">
      <alignment vertical="center"/>
    </xf>
    <xf numFmtId="0" fontId="3" fillId="6" borderId="26" xfId="0" applyFont="1" applyFill="1" applyBorder="1" applyAlignment="1" applyProtection="1">
      <alignment vertical="center"/>
    </xf>
    <xf numFmtId="0" fontId="3" fillId="6" borderId="3" xfId="0" applyFont="1" applyFill="1" applyBorder="1" applyAlignment="1" applyProtection="1">
      <alignment vertical="center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54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165" fontId="3" fillId="5" borderId="16" xfId="2" applyNumberFormat="1" applyFont="1" applyFill="1" applyBorder="1" applyAlignment="1" applyProtection="1">
      <alignment horizontal="center" vertical="center"/>
      <protection locked="0"/>
    </xf>
    <xf numFmtId="165" fontId="3" fillId="5" borderId="17" xfId="2" applyNumberFormat="1" applyFont="1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center" vertical="center" wrapText="1"/>
    </xf>
    <xf numFmtId="10" fontId="6" fillId="6" borderId="53" xfId="1" applyNumberFormat="1" applyFont="1" applyFill="1" applyBorder="1" applyAlignment="1" applyProtection="1">
      <alignment horizontal="center" vertical="center" wrapText="1"/>
    </xf>
    <xf numFmtId="10" fontId="6" fillId="6" borderId="16" xfId="1" applyNumberFormat="1" applyFont="1" applyFill="1" applyBorder="1" applyAlignment="1" applyProtection="1">
      <alignment horizontal="center" vertical="center" wrapText="1"/>
    </xf>
    <xf numFmtId="10" fontId="3" fillId="6" borderId="19" xfId="0" applyNumberFormat="1" applyFont="1" applyFill="1" applyBorder="1" applyAlignment="1" applyProtection="1">
      <alignment horizontal="center" vertical="center"/>
    </xf>
    <xf numFmtId="10" fontId="3" fillId="6" borderId="14" xfId="0" applyNumberFormat="1" applyFont="1" applyFill="1" applyBorder="1" applyAlignment="1" applyProtection="1">
      <alignment horizontal="center" vertical="center"/>
    </xf>
    <xf numFmtId="10" fontId="3" fillId="6" borderId="17" xfId="0" applyNumberFormat="1" applyFont="1" applyFill="1" applyBorder="1" applyAlignment="1" applyProtection="1">
      <alignment horizontal="center" vertical="center"/>
    </xf>
    <xf numFmtId="165" fontId="4" fillId="2" borderId="6" xfId="2" applyNumberFormat="1" applyFont="1" applyFill="1" applyBorder="1" applyAlignment="1" applyProtection="1">
      <alignment horizontal="right" vertical="center"/>
    </xf>
    <xf numFmtId="165" fontId="3" fillId="5" borderId="33" xfId="2" applyNumberFormat="1" applyFont="1" applyFill="1" applyBorder="1" applyAlignment="1" applyProtection="1">
      <alignment horizontal="right" vertical="center"/>
      <protection locked="0"/>
    </xf>
    <xf numFmtId="165" fontId="7" fillId="6" borderId="33" xfId="2" applyNumberFormat="1" applyFont="1" applyFill="1" applyBorder="1" applyAlignment="1" applyProtection="1">
      <alignment horizontal="right" vertical="center"/>
    </xf>
    <xf numFmtId="165" fontId="4" fillId="2" borderId="33" xfId="2" applyNumberFormat="1" applyFont="1" applyFill="1" applyBorder="1" applyAlignment="1" applyProtection="1">
      <alignment horizontal="right" vertical="center"/>
    </xf>
    <xf numFmtId="165" fontId="4" fillId="6" borderId="33" xfId="2" applyNumberFormat="1" applyFont="1" applyFill="1" applyBorder="1" applyAlignment="1" applyProtection="1">
      <alignment horizontal="right" vertical="center"/>
    </xf>
    <xf numFmtId="165" fontId="3" fillId="6" borderId="33" xfId="0" applyNumberFormat="1" applyFont="1" applyFill="1" applyBorder="1" applyAlignment="1" applyProtection="1">
      <alignment horizontal="right"/>
    </xf>
    <xf numFmtId="165" fontId="3" fillId="6" borderId="33" xfId="2" applyNumberFormat="1" applyFont="1" applyFill="1" applyBorder="1" applyAlignment="1" applyProtection="1">
      <alignment horizontal="right" vertical="center"/>
    </xf>
    <xf numFmtId="165" fontId="3" fillId="5" borderId="33" xfId="0" applyNumberFormat="1" applyFont="1" applyFill="1" applyBorder="1" applyAlignment="1" applyProtection="1">
      <alignment horizontal="right" vertical="center"/>
      <protection locked="0"/>
    </xf>
    <xf numFmtId="165" fontId="3" fillId="6" borderId="33" xfId="0" applyNumberFormat="1" applyFont="1" applyFill="1" applyBorder="1" applyAlignment="1" applyProtection="1">
      <alignment horizontal="right" vertical="center"/>
    </xf>
    <xf numFmtId="165" fontId="3" fillId="4" borderId="33" xfId="2" applyNumberFormat="1" applyFont="1" applyFill="1" applyBorder="1" applyAlignment="1" applyProtection="1">
      <alignment horizontal="right" vertical="center"/>
      <protection locked="0"/>
    </xf>
    <xf numFmtId="165" fontId="4" fillId="5" borderId="33" xfId="2" applyNumberFormat="1" applyFont="1" applyFill="1" applyBorder="1" applyAlignment="1" applyProtection="1">
      <alignment horizontal="right" vertical="center"/>
      <protection locked="0"/>
    </xf>
    <xf numFmtId="166" fontId="3" fillId="6" borderId="33" xfId="2" applyNumberFormat="1" applyFont="1" applyFill="1" applyBorder="1" applyAlignment="1" applyProtection="1">
      <alignment horizontal="right" vertical="center"/>
    </xf>
    <xf numFmtId="165" fontId="4" fillId="6" borderId="33" xfId="0" applyNumberFormat="1" applyFont="1" applyFill="1" applyBorder="1" applyAlignment="1" applyProtection="1">
      <alignment horizontal="right" vertical="center"/>
    </xf>
    <xf numFmtId="166" fontId="7" fillId="6" borderId="33" xfId="1" applyNumberFormat="1" applyFont="1" applyFill="1" applyBorder="1" applyAlignment="1" applyProtection="1">
      <alignment horizontal="right" vertical="center"/>
    </xf>
    <xf numFmtId="166" fontId="4" fillId="2" borderId="33" xfId="2" applyNumberFormat="1" applyFont="1" applyFill="1" applyBorder="1" applyAlignment="1" applyProtection="1">
      <alignment horizontal="right" vertical="center"/>
    </xf>
    <xf numFmtId="10" fontId="3" fillId="6" borderId="33" xfId="1" applyNumberFormat="1" applyFont="1" applyFill="1" applyBorder="1" applyAlignment="1" applyProtection="1">
      <alignment horizontal="right" vertical="center"/>
    </xf>
    <xf numFmtId="166" fontId="3" fillId="6" borderId="33" xfId="1" applyNumberFormat="1" applyFont="1" applyFill="1" applyBorder="1" applyAlignment="1" applyProtection="1">
      <alignment horizontal="right" vertical="center"/>
    </xf>
    <xf numFmtId="166" fontId="4" fillId="6" borderId="5" xfId="2" applyNumberFormat="1" applyFont="1" applyFill="1" applyBorder="1" applyAlignment="1" applyProtection="1">
      <alignment horizontal="right" vertical="center"/>
    </xf>
    <xf numFmtId="0" fontId="4" fillId="7" borderId="23" xfId="0" applyFont="1" applyFill="1" applyBorder="1" applyAlignment="1" applyProtection="1">
      <alignment horizontal="center" vertical="center" wrapText="1"/>
    </xf>
    <xf numFmtId="165" fontId="3" fillId="5" borderId="19" xfId="2" applyNumberFormat="1" applyFont="1" applyFill="1" applyBorder="1" applyAlignment="1" applyProtection="1">
      <alignment horizontal="center" vertical="center"/>
      <protection locked="0"/>
    </xf>
    <xf numFmtId="165" fontId="3" fillId="5" borderId="14" xfId="2" applyNumberFormat="1" applyFont="1" applyFill="1" applyBorder="1" applyAlignment="1" applyProtection="1">
      <alignment horizontal="center" vertical="center"/>
      <protection locked="0"/>
    </xf>
    <xf numFmtId="172" fontId="5" fillId="7" borderId="19" xfId="0" applyNumberFormat="1" applyFont="1" applyFill="1" applyBorder="1" applyAlignment="1" applyProtection="1">
      <alignment horizontal="center" vertical="center" wrapText="1"/>
    </xf>
    <xf numFmtId="172" fontId="6" fillId="6" borderId="14" xfId="0" applyNumberFormat="1" applyFont="1" applyFill="1" applyBorder="1" applyAlignment="1" applyProtection="1">
      <alignment horizontal="center" vertical="center"/>
    </xf>
    <xf numFmtId="172" fontId="5" fillId="7" borderId="14" xfId="0" applyNumberFormat="1" applyFont="1" applyFill="1" applyBorder="1" applyAlignment="1" applyProtection="1">
      <alignment horizontal="center" vertical="center" wrapText="1"/>
    </xf>
    <xf numFmtId="172" fontId="6" fillId="0" borderId="14" xfId="0" applyNumberFormat="1" applyFont="1" applyFill="1" applyBorder="1" applyAlignment="1" applyProtection="1">
      <alignment horizontal="center" vertical="center"/>
    </xf>
    <xf numFmtId="172" fontId="6" fillId="5" borderId="14" xfId="0" applyNumberFormat="1" applyFont="1" applyFill="1" applyBorder="1" applyAlignment="1" applyProtection="1">
      <alignment horizontal="center" vertical="center"/>
      <protection locked="0"/>
    </xf>
    <xf numFmtId="172" fontId="6" fillId="0" borderId="24" xfId="0" applyNumberFormat="1" applyFont="1" applyFill="1" applyBorder="1" applyAlignment="1" applyProtection="1">
      <alignment horizontal="center" vertical="center"/>
    </xf>
    <xf numFmtId="0" fontId="3" fillId="5" borderId="25" xfId="2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6" borderId="30" xfId="0" applyFont="1" applyFill="1" applyBorder="1" applyAlignment="1" applyProtection="1">
      <alignment horizontal="left" vertical="center" wrapText="1"/>
    </xf>
    <xf numFmtId="0" fontId="3" fillId="6" borderId="63" xfId="0" applyFont="1" applyFill="1" applyBorder="1" applyAlignment="1" applyProtection="1">
      <alignment horizontal="left" vertical="center" wrapText="1"/>
    </xf>
    <xf numFmtId="0" fontId="3" fillId="6" borderId="27" xfId="0" applyFont="1" applyFill="1" applyBorder="1" applyAlignment="1" applyProtection="1">
      <alignment horizontal="left" vertical="center" wrapText="1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4" fillId="5" borderId="76" xfId="0" applyFont="1" applyFill="1" applyBorder="1" applyAlignment="1" applyProtection="1">
      <alignment horizontal="center" vertical="center"/>
      <protection locked="0"/>
    </xf>
    <xf numFmtId="0" fontId="4" fillId="5" borderId="74" xfId="0" applyFont="1" applyFill="1" applyBorder="1" applyAlignment="1" applyProtection="1">
      <alignment horizontal="center" vertical="center"/>
      <protection locked="0"/>
    </xf>
    <xf numFmtId="0" fontId="4" fillId="5" borderId="72" xfId="0" applyFont="1" applyFill="1" applyBorder="1" applyAlignment="1" applyProtection="1">
      <alignment horizontal="center" vertical="center"/>
      <protection locked="0"/>
    </xf>
    <xf numFmtId="0" fontId="4" fillId="5" borderId="62" xfId="0" applyFont="1" applyFill="1" applyBorder="1" applyAlignment="1" applyProtection="1">
      <alignment horizontal="center" vertical="center"/>
      <protection locked="0"/>
    </xf>
    <xf numFmtId="0" fontId="4" fillId="5" borderId="63" xfId="0" applyFont="1" applyFill="1" applyBorder="1" applyAlignment="1" applyProtection="1">
      <alignment horizontal="center" vertical="center"/>
      <protection locked="0"/>
    </xf>
    <xf numFmtId="0" fontId="4" fillId="5" borderId="27" xfId="0" applyFont="1" applyFill="1" applyBorder="1" applyAlignment="1" applyProtection="1">
      <alignment horizontal="center" vertical="center"/>
      <protection locked="0"/>
    </xf>
    <xf numFmtId="0" fontId="3" fillId="5" borderId="62" xfId="0" applyFont="1" applyFill="1" applyBorder="1" applyAlignment="1" applyProtection="1">
      <alignment horizontal="center" vertical="center"/>
      <protection locked="0"/>
    </xf>
    <xf numFmtId="0" fontId="3" fillId="5" borderId="63" xfId="0" applyFont="1" applyFill="1" applyBorder="1" applyAlignment="1" applyProtection="1">
      <alignment horizontal="center" vertical="center"/>
      <protection locked="0"/>
    </xf>
    <xf numFmtId="0" fontId="3" fillId="5" borderId="27" xfId="0" applyFont="1" applyFill="1" applyBorder="1" applyAlignment="1" applyProtection="1">
      <alignment horizontal="center" vertical="center"/>
      <protection locked="0"/>
    </xf>
    <xf numFmtId="165" fontId="3" fillId="5" borderId="64" xfId="2" applyNumberFormat="1" applyFont="1" applyFill="1" applyBorder="1" applyAlignment="1" applyProtection="1">
      <alignment horizontal="center" vertical="center"/>
      <protection locked="0"/>
    </xf>
    <xf numFmtId="165" fontId="3" fillId="5" borderId="73" xfId="2" applyNumberFormat="1" applyFont="1" applyFill="1" applyBorder="1" applyAlignment="1" applyProtection="1">
      <alignment horizontal="center" vertical="center"/>
      <protection locked="0"/>
    </xf>
    <xf numFmtId="165" fontId="3" fillId="5" borderId="65" xfId="2" applyNumberFormat="1" applyFont="1" applyFill="1" applyBorder="1" applyAlignment="1" applyProtection="1">
      <alignment horizontal="center" vertical="center"/>
      <protection locked="0"/>
    </xf>
    <xf numFmtId="2" fontId="3" fillId="5" borderId="62" xfId="1" applyNumberFormat="1" applyFont="1" applyFill="1" applyBorder="1" applyAlignment="1" applyProtection="1">
      <alignment horizontal="center" vertical="center"/>
      <protection locked="0"/>
    </xf>
    <xf numFmtId="2" fontId="3" fillId="5" borderId="63" xfId="1" applyNumberFormat="1" applyFont="1" applyFill="1" applyBorder="1" applyAlignment="1" applyProtection="1">
      <alignment horizontal="center" vertical="center"/>
      <protection locked="0"/>
    </xf>
    <xf numFmtId="2" fontId="3" fillId="5" borderId="27" xfId="1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15" xfId="0" applyFont="1" applyFill="1" applyBorder="1" applyAlignment="1" applyProtection="1">
      <alignment horizontal="left" vertical="center" wrapText="1"/>
    </xf>
    <xf numFmtId="10" fontId="6" fillId="0" borderId="12" xfId="1" applyNumberFormat="1" applyFont="1" applyFill="1" applyBorder="1" applyAlignment="1" applyProtection="1">
      <alignment horizontal="center" vertical="center"/>
    </xf>
    <xf numFmtId="10" fontId="6" fillId="0" borderId="17" xfId="1" applyNumberFormat="1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left" vertical="center" wrapText="1"/>
    </xf>
    <xf numFmtId="10" fontId="6" fillId="0" borderId="19" xfId="1" applyNumberFormat="1" applyFont="1" applyFill="1" applyBorder="1" applyAlignment="1" applyProtection="1">
      <alignment horizontal="center" vertical="center"/>
    </xf>
    <xf numFmtId="0" fontId="4" fillId="7" borderId="8" xfId="0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10" fontId="3" fillId="6" borderId="62" xfId="0" applyNumberFormat="1" applyFont="1" applyFill="1" applyBorder="1" applyAlignment="1" applyProtection="1">
      <alignment horizontal="center" vertical="center"/>
    </xf>
    <xf numFmtId="10" fontId="3" fillId="6" borderId="63" xfId="0" applyNumberFormat="1" applyFont="1" applyFill="1" applyBorder="1" applyAlignment="1" applyProtection="1">
      <alignment horizontal="center" vertical="center"/>
    </xf>
    <xf numFmtId="10" fontId="3" fillId="6" borderId="27" xfId="0" applyNumberFormat="1" applyFont="1" applyFill="1" applyBorder="1" applyAlignment="1" applyProtection="1">
      <alignment horizontal="center" vertical="center"/>
    </xf>
    <xf numFmtId="0" fontId="4" fillId="6" borderId="82" xfId="0" applyFont="1" applyFill="1" applyBorder="1" applyAlignment="1" applyProtection="1">
      <alignment horizontal="center" vertical="center"/>
    </xf>
    <xf numFmtId="0" fontId="4" fillId="6" borderId="74" xfId="0" applyFont="1" applyFill="1" applyBorder="1" applyAlignment="1" applyProtection="1">
      <alignment horizontal="center" vertical="center"/>
    </xf>
    <xf numFmtId="0" fontId="4" fillId="6" borderId="72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54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10" fontId="6" fillId="0" borderId="20" xfId="0" applyNumberFormat="1" applyFont="1" applyFill="1" applyBorder="1" applyAlignment="1" applyProtection="1">
      <alignment horizontal="center" vertical="center"/>
    </xf>
    <xf numFmtId="10" fontId="6" fillId="0" borderId="21" xfId="0" applyNumberFormat="1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 wrapText="1"/>
    </xf>
    <xf numFmtId="0" fontId="4" fillId="2" borderId="5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9" xfId="0" applyFont="1" applyFill="1" applyBorder="1" applyAlignment="1" applyProtection="1">
      <alignment horizontal="center" vertical="center" wrapText="1"/>
    </xf>
    <xf numFmtId="0" fontId="4" fillId="2" borderId="52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9" borderId="56" xfId="0" applyFont="1" applyFill="1" applyBorder="1" applyAlignment="1">
      <alignment horizontal="left" vertical="center"/>
    </xf>
    <xf numFmtId="0" fontId="4" fillId="9" borderId="57" xfId="0" applyFont="1" applyFill="1" applyBorder="1" applyAlignment="1">
      <alignment horizontal="left" vertical="center"/>
    </xf>
    <xf numFmtId="0" fontId="4" fillId="9" borderId="5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0" fillId="6" borderId="0" xfId="0" applyFill="1" applyAlignment="1">
      <alignment vertical="center"/>
    </xf>
    <xf numFmtId="0" fontId="4" fillId="6" borderId="7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5"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9BC2E6"/>
      <color rgb="FFF2F2F2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19048</xdr:colOff>
      <xdr:row>51</xdr:row>
      <xdr:rowOff>119062</xdr:rowOff>
    </xdr:from>
    <xdr:ext cx="3467101" cy="4048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589FAF4-5984-4E92-A002-7AB1B822F96F}"/>
                </a:ext>
              </a:extLst>
            </xdr:cNvPr>
            <xdr:cNvSpPr txBox="1"/>
          </xdr:nvSpPr>
          <xdr:spPr>
            <a:xfrm>
              <a:off x="161923" y="10596562"/>
              <a:ext cx="3467101" cy="4048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𝐵𝐷𝐼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1+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𝑑𝑒𝑠𝑝𝑒𝑠𝑎𝑠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𝑖𝑛𝑑𝑖𝑟𝑒𝑡𝑎𝑠</m:t>
                            </m:r>
                          </m:e>
                        </m:d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.(1+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𝑙𝑢𝑐𝑟𝑜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𝑏𝑟𝑢𝑡𝑜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1−%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𝑃𝐼𝑆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−%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𝐶𝑂𝐹𝐼𝑁𝑆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−%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𝐼𝑆𝑆</m:t>
                        </m:r>
                      </m:den>
                    </m:f>
                    <m:r>
                      <a:rPr lang="pt-BR" sz="1100" b="0" i="1">
                        <a:latin typeface="Cambria Math" panose="02040503050406030204" pitchFamily="18" charset="0"/>
                      </a:rPr>
                      <m:t>−1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589FAF4-5984-4E92-A002-7AB1B822F96F}"/>
                </a:ext>
              </a:extLst>
            </xdr:cNvPr>
            <xdr:cNvSpPr txBox="1"/>
          </xdr:nvSpPr>
          <xdr:spPr>
            <a:xfrm>
              <a:off x="161923" y="10596562"/>
              <a:ext cx="3467101" cy="4048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𝐵𝐷𝐼=(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(1+𝑑𝑒𝑠𝑝𝑒𝑠𝑎𝑠 𝑖𝑛𝑑𝑖𝑟𝑒𝑡𝑎𝑠)  .(1+𝑙𝑢𝑐𝑟𝑜 𝑏𝑟𝑢𝑡𝑜)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pt-BR" sz="1100" b="0" i="0">
                  <a:latin typeface="Cambria Math" panose="02040503050406030204" pitchFamily="18" charset="0"/>
                </a:rPr>
                <a:t>1−%𝑃𝐼𝑆−%𝐶𝑂𝐹𝐼𝑁𝑆−%𝐼𝑆𝑆)−1</a:t>
              </a:r>
              <a:endParaRPr lang="en-US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e/Desktop/2.%20Levantamento%20de%20&#225;reas_v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. de cálc. brises e ACM"/>
      <sheetName val="Inputs - Prod. e Valores"/>
      <sheetName val="Resultados"/>
      <sheetName val="Pisos"/>
      <sheetName val="Pisos - Consolidado c. Serv."/>
      <sheetName val="Vidros"/>
      <sheetName val="Levantamento vidros-Suzana"/>
      <sheetName val="Brises"/>
      <sheetName val="ACM"/>
      <sheetName val="Postos - TR"/>
      <sheetName val="Elem. de fachada + Jard. - TR"/>
      <sheetName val="Áreas Int. e Ext. - Consolidado"/>
      <sheetName val="Elem. de fachada - Consolidado"/>
      <sheetName val="Jardins - Consolidado"/>
      <sheetName val="Planilha de Preços"/>
      <sheetName val="Dados URs"/>
      <sheetName val="Anexo X - Old"/>
      <sheetName val="Anexo A"/>
      <sheetName val="Editais anteriores"/>
      <sheetName val="Comparação"/>
      <sheetName val="Unif. e EPIs - AL e LV - TR"/>
      <sheetName val="Unif. e EPIs - AL. AC. - TR"/>
      <sheetName val="Unif. e EPIs - Jard. - TR"/>
      <sheetName val="Unif. e EPIs - AL e LV"/>
      <sheetName val="Unif. e EPIs - AL. AC."/>
      <sheetName val="Produtividade"/>
      <sheetName val="Valor unitário mensal"/>
      <sheetName val="Funcionários e custos"/>
      <sheetName val="Verificação TJSP"/>
      <sheetName val="UR-1 Pisos - Antigo"/>
      <sheetName val="Planilhas editais anteriores"/>
      <sheetName val="Mem. Calc. Custo Vidros Trim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5">
          <cell r="I15" t="str">
            <v>Foto_UR_2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31ACB-D8AF-4BB4-80E4-7DF7118838B2}">
  <dimension ref="B1:D13"/>
  <sheetViews>
    <sheetView tabSelected="1" zoomScaleNormal="100" workbookViewId="0"/>
  </sheetViews>
  <sheetFormatPr defaultRowHeight="15.05" x14ac:dyDescent="0.3"/>
  <cols>
    <col min="1" max="1" width="2.44140625" style="24" customWidth="1"/>
    <col min="2" max="4" width="39.109375" style="24" customWidth="1"/>
    <col min="5" max="16384" width="8.88671875" style="24"/>
  </cols>
  <sheetData>
    <row r="1" spans="2:4" ht="15.65" thickBot="1" x14ac:dyDescent="0.35"/>
    <row r="2" spans="2:4" s="460" customFormat="1" ht="102.7" customHeight="1" thickBot="1" x14ac:dyDescent="0.35">
      <c r="B2" s="457" t="s">
        <v>171</v>
      </c>
      <c r="C2" s="458"/>
      <c r="D2" s="459"/>
    </row>
    <row r="3" spans="2:4" s="460" customFormat="1" ht="15.65" thickBot="1" x14ac:dyDescent="0.35"/>
    <row r="4" spans="2:4" s="460" customFormat="1" ht="52.6" customHeight="1" thickBot="1" x14ac:dyDescent="0.35">
      <c r="B4" s="373" t="s">
        <v>172</v>
      </c>
      <c r="C4" s="374"/>
      <c r="D4" s="375"/>
    </row>
    <row r="5" spans="2:4" s="460" customFormat="1" ht="15.65" thickBot="1" x14ac:dyDescent="0.35"/>
    <row r="6" spans="2:4" s="460" customFormat="1" ht="15.65" thickBot="1" x14ac:dyDescent="0.35">
      <c r="B6" s="464" t="s">
        <v>176</v>
      </c>
      <c r="C6" s="465"/>
      <c r="D6" s="466"/>
    </row>
    <row r="7" spans="2:4" s="460" customFormat="1" ht="57" customHeight="1" thickBot="1" x14ac:dyDescent="0.35">
      <c r="B7" s="457" t="s">
        <v>177</v>
      </c>
      <c r="C7" s="461"/>
      <c r="D7" s="462"/>
    </row>
    <row r="8" spans="2:4" s="460" customFormat="1" ht="15.65" thickBot="1" x14ac:dyDescent="0.35"/>
    <row r="9" spans="2:4" s="460" customFormat="1" ht="15.65" thickBot="1" x14ac:dyDescent="0.35">
      <c r="B9" s="464" t="s">
        <v>178</v>
      </c>
      <c r="C9" s="465"/>
      <c r="D9" s="466"/>
    </row>
    <row r="10" spans="2:4" s="460" customFormat="1" ht="34.450000000000003" customHeight="1" thickBot="1" x14ac:dyDescent="0.35">
      <c r="B10" s="457" t="s">
        <v>173</v>
      </c>
      <c r="C10" s="458"/>
      <c r="D10" s="459"/>
    </row>
    <row r="11" spans="2:4" s="460" customFormat="1" ht="27.55" customHeight="1" thickBot="1" x14ac:dyDescent="0.35">
      <c r="B11" s="457" t="s">
        <v>174</v>
      </c>
      <c r="C11" s="461"/>
      <c r="D11" s="462"/>
    </row>
    <row r="12" spans="2:4" s="460" customFormat="1" ht="15.65" thickBot="1" x14ac:dyDescent="0.35">
      <c r="B12" s="463"/>
      <c r="C12" s="463"/>
      <c r="D12" s="463"/>
    </row>
    <row r="13" spans="2:4" s="460" customFormat="1" ht="47.6" customHeight="1" thickBot="1" x14ac:dyDescent="0.35">
      <c r="B13" s="370" t="s">
        <v>175</v>
      </c>
      <c r="C13" s="371"/>
      <c r="D13" s="372"/>
    </row>
  </sheetData>
  <mergeCells count="8">
    <mergeCell ref="B13:D13"/>
    <mergeCell ref="B2:D2"/>
    <mergeCell ref="B4:D4"/>
    <mergeCell ref="B7:D7"/>
    <mergeCell ref="B10:D10"/>
    <mergeCell ref="B11:D11"/>
    <mergeCell ref="B6:D6"/>
    <mergeCell ref="B9:D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O85"/>
  <sheetViews>
    <sheetView workbookViewId="0">
      <selection activeCell="D21" sqref="D21"/>
    </sheetView>
  </sheetViews>
  <sheetFormatPr defaultColWidth="9.109375" defaultRowHeight="15.05" customHeight="1" x14ac:dyDescent="0.3"/>
  <cols>
    <col min="1" max="1" width="2.109375" style="166" customWidth="1"/>
    <col min="2" max="2" width="33" style="166" bestFit="1" customWidth="1"/>
    <col min="3" max="5" width="23.88671875" style="166" customWidth="1"/>
    <col min="6" max="6" width="22.5546875" style="166" customWidth="1"/>
    <col min="7" max="7" width="5.6640625" style="166" bestFit="1" customWidth="1"/>
    <col min="8" max="8" width="19.44140625" style="166" bestFit="1" customWidth="1"/>
    <col min="9" max="9" width="23.109375" style="167" bestFit="1" customWidth="1"/>
    <col min="10" max="10" width="13.5546875" style="166" bestFit="1" customWidth="1"/>
    <col min="11" max="11" width="9.88671875" style="166" bestFit="1" customWidth="1"/>
    <col min="12" max="12" width="10.5546875" style="166" bestFit="1" customWidth="1"/>
    <col min="13" max="13" width="7.6640625" style="166" bestFit="1" customWidth="1"/>
    <col min="14" max="16384" width="9.109375" style="166"/>
  </cols>
  <sheetData>
    <row r="1" spans="2:15" ht="15.05" customHeight="1" thickBot="1" x14ac:dyDescent="0.35">
      <c r="B1"/>
    </row>
    <row r="2" spans="2:15" ht="15.05" customHeight="1" thickBot="1" x14ac:dyDescent="0.35">
      <c r="B2" s="403" t="s">
        <v>147</v>
      </c>
      <c r="C2" s="404"/>
      <c r="D2" s="404"/>
      <c r="E2" s="405"/>
    </row>
    <row r="3" spans="2:15" ht="30.05" customHeight="1" thickBot="1" x14ac:dyDescent="0.35">
      <c r="B3" s="406" t="s">
        <v>152</v>
      </c>
      <c r="C3" s="407"/>
      <c r="D3" s="407"/>
      <c r="E3" s="408"/>
    </row>
    <row r="4" spans="2:15" ht="15.05" customHeight="1" thickBot="1" x14ac:dyDescent="0.3">
      <c r="B4" s="168"/>
      <c r="G4" s="169"/>
    </row>
    <row r="5" spans="2:15" ht="15.05" customHeight="1" thickBot="1" x14ac:dyDescent="0.35">
      <c r="B5" s="403" t="s">
        <v>115</v>
      </c>
      <c r="C5" s="404"/>
      <c r="D5" s="404"/>
      <c r="E5" s="405"/>
    </row>
    <row r="6" spans="2:15" ht="15.05" customHeight="1" x14ac:dyDescent="0.3">
      <c r="B6" s="170" t="s">
        <v>69</v>
      </c>
      <c r="C6" s="382"/>
      <c r="D6" s="383"/>
      <c r="E6" s="384"/>
    </row>
    <row r="7" spans="2:15" ht="15.05" customHeight="1" x14ac:dyDescent="0.3">
      <c r="B7" s="171" t="s">
        <v>68</v>
      </c>
      <c r="C7" s="385"/>
      <c r="D7" s="386"/>
      <c r="E7" s="387"/>
      <c r="O7" s="172"/>
    </row>
    <row r="8" spans="2:15" ht="15.05" customHeight="1" x14ac:dyDescent="0.3">
      <c r="B8" s="171" t="s">
        <v>70</v>
      </c>
      <c r="C8" s="385"/>
      <c r="D8" s="386"/>
      <c r="E8" s="387"/>
      <c r="O8" s="172"/>
    </row>
    <row r="9" spans="2:15" ht="15.05" customHeight="1" x14ac:dyDescent="0.3">
      <c r="B9" s="171" t="s">
        <v>71</v>
      </c>
      <c r="C9" s="385"/>
      <c r="D9" s="386"/>
      <c r="E9" s="387"/>
      <c r="O9" s="172"/>
    </row>
    <row r="10" spans="2:15" ht="15.05" customHeight="1" x14ac:dyDescent="0.3">
      <c r="B10" s="171" t="s">
        <v>72</v>
      </c>
      <c r="C10" s="385"/>
      <c r="D10" s="386"/>
      <c r="E10" s="387"/>
    </row>
    <row r="11" spans="2:15" ht="15.05" customHeight="1" x14ac:dyDescent="0.3">
      <c r="B11" s="171" t="s">
        <v>113</v>
      </c>
      <c r="C11" s="385"/>
      <c r="D11" s="386"/>
      <c r="E11" s="387"/>
    </row>
    <row r="12" spans="2:15" ht="15.05" customHeight="1" x14ac:dyDescent="0.3">
      <c r="B12" s="119" t="s">
        <v>119</v>
      </c>
      <c r="C12" s="409">
        <v>0.03</v>
      </c>
      <c r="D12" s="410"/>
      <c r="E12" s="411"/>
    </row>
    <row r="13" spans="2:15" ht="15.05" customHeight="1" x14ac:dyDescent="0.3">
      <c r="B13" s="119" t="s">
        <v>120</v>
      </c>
      <c r="C13" s="394"/>
      <c r="D13" s="395"/>
      <c r="E13" s="396"/>
    </row>
    <row r="14" spans="2:15" ht="15.05" customHeight="1" x14ac:dyDescent="0.3">
      <c r="B14" s="171" t="s">
        <v>111</v>
      </c>
      <c r="C14" s="388"/>
      <c r="D14" s="389"/>
      <c r="E14" s="390"/>
    </row>
    <row r="15" spans="2:15" ht="15.05" customHeight="1" thickBot="1" x14ac:dyDescent="0.35">
      <c r="B15" s="173" t="s">
        <v>126</v>
      </c>
      <c r="C15" s="391"/>
      <c r="D15" s="392"/>
      <c r="E15" s="393"/>
    </row>
    <row r="16" spans="2:15" ht="15.05" customHeight="1" thickBot="1" x14ac:dyDescent="0.35"/>
    <row r="17" spans="2:15" ht="15.05" customHeight="1" thickBot="1" x14ac:dyDescent="0.35">
      <c r="B17" s="379" t="s">
        <v>124</v>
      </c>
      <c r="C17" s="380"/>
      <c r="D17" s="380"/>
      <c r="E17" s="381"/>
    </row>
    <row r="18" spans="2:15" ht="15.05" customHeight="1" thickBot="1" x14ac:dyDescent="0.35">
      <c r="B18" s="107" t="s">
        <v>4</v>
      </c>
      <c r="C18" s="325" t="s">
        <v>17</v>
      </c>
      <c r="D18" s="160" t="s">
        <v>114</v>
      </c>
      <c r="E18" s="272" t="s">
        <v>2</v>
      </c>
    </row>
    <row r="19" spans="2:15" ht="30.05" customHeight="1" x14ac:dyDescent="0.3">
      <c r="B19" s="397" t="s">
        <v>133</v>
      </c>
      <c r="C19" s="322" t="s">
        <v>18</v>
      </c>
      <c r="D19" s="123"/>
      <c r="E19" s="399">
        <f>SUM(D19:D20)</f>
        <v>0</v>
      </c>
      <c r="I19" s="174"/>
    </row>
    <row r="20" spans="2:15" ht="30.05" customHeight="1" thickBot="1" x14ac:dyDescent="0.35">
      <c r="B20" s="398"/>
      <c r="C20" s="323" t="s">
        <v>19</v>
      </c>
      <c r="D20" s="101"/>
      <c r="E20" s="400"/>
      <c r="H20" s="24"/>
      <c r="I20" s="24"/>
      <c r="J20" s="24"/>
    </row>
    <row r="21" spans="2:15" ht="30.05" customHeight="1" thickBot="1" x14ac:dyDescent="0.35">
      <c r="B21" s="124" t="s">
        <v>132</v>
      </c>
      <c r="C21" s="324" t="s">
        <v>20</v>
      </c>
      <c r="D21" s="125"/>
      <c r="E21" s="126">
        <f>D21</f>
        <v>0</v>
      </c>
      <c r="H21" s="24"/>
      <c r="I21" s="24"/>
      <c r="J21" s="24"/>
    </row>
    <row r="22" spans="2:15" ht="30.05" customHeight="1" x14ac:dyDescent="0.3">
      <c r="B22" s="401" t="s">
        <v>134</v>
      </c>
      <c r="C22" s="322" t="s">
        <v>21</v>
      </c>
      <c r="D22" s="335" t="str">
        <f>IF($C$14="Lucro real - Incidência cumulativa de PIS e COFINS",1.65%,IF($C$14="Lucro presumido - Incidência cumulativa de PIS e COFINS",0.65%,"Informar regime de tributação"))</f>
        <v>Informar regime de tributação</v>
      </c>
      <c r="E22" s="402">
        <f>SUM(D22:D23)</f>
        <v>0</v>
      </c>
      <c r="H22" s="24"/>
      <c r="I22" s="24"/>
      <c r="J22" s="24"/>
    </row>
    <row r="23" spans="2:15" ht="30.05" customHeight="1" thickBot="1" x14ac:dyDescent="0.35">
      <c r="B23" s="398"/>
      <c r="C23" s="323" t="s">
        <v>22</v>
      </c>
      <c r="D23" s="336" t="str">
        <f>IF($C$14="Lucro real - Incidência cumulativa de PIS e COFINS",7.6%,IF($C$14="Lucro presumido - Incidência cumulativa de PIS e COFINS",3%,"Informar regime de tributação"))</f>
        <v>Informar regime de tributação</v>
      </c>
      <c r="E23" s="400"/>
      <c r="H23" s="24"/>
      <c r="I23" s="24"/>
      <c r="J23" s="24"/>
    </row>
    <row r="24" spans="2:15" ht="15.05" customHeight="1" thickBot="1" x14ac:dyDescent="0.35">
      <c r="F24" s="175"/>
      <c r="H24" s="24"/>
      <c r="I24" s="24"/>
      <c r="J24" s="24"/>
      <c r="L24" s="172"/>
      <c r="O24" s="172"/>
    </row>
    <row r="25" spans="2:15" ht="15.05" customHeight="1" thickBot="1" x14ac:dyDescent="0.35">
      <c r="B25" s="415" t="s">
        <v>125</v>
      </c>
      <c r="C25" s="416"/>
      <c r="D25" s="416"/>
      <c r="E25" s="417"/>
      <c r="H25" s="24"/>
      <c r="I25" s="24"/>
      <c r="J25" s="24"/>
      <c r="L25" s="172"/>
      <c r="O25" s="172"/>
    </row>
    <row r="26" spans="2:15" ht="15.05" customHeight="1" thickBot="1" x14ac:dyDescent="0.35">
      <c r="B26" s="329" t="s">
        <v>0</v>
      </c>
      <c r="C26" s="330" t="s">
        <v>8</v>
      </c>
      <c r="D26" s="330" t="s">
        <v>168</v>
      </c>
      <c r="E26" s="331" t="s">
        <v>14</v>
      </c>
      <c r="H26" s="24"/>
      <c r="I26" s="24"/>
      <c r="J26" s="24"/>
      <c r="O26" s="172"/>
    </row>
    <row r="27" spans="2:15" ht="15.05" customHeight="1" x14ac:dyDescent="0.3">
      <c r="B27" s="141" t="s">
        <v>155</v>
      </c>
      <c r="C27" s="179">
        <v>4.83</v>
      </c>
      <c r="D27" s="144">
        <v>0.02</v>
      </c>
      <c r="E27" s="337" t="str">
        <f t="shared" ref="E27:E47" si="0">IFERROR((1+$E$19)*(1+$E$21)/(1-($D$22+$D$23+D27))-1,"-")</f>
        <v>-</v>
      </c>
      <c r="H27" s="24"/>
      <c r="I27" s="24"/>
      <c r="J27" s="24"/>
      <c r="O27" s="172"/>
    </row>
    <row r="28" spans="2:15" ht="15.05" customHeight="1" x14ac:dyDescent="0.3">
      <c r="B28" s="141" t="s">
        <v>86</v>
      </c>
      <c r="C28" s="179">
        <v>3.73</v>
      </c>
      <c r="D28" s="144">
        <v>0.04</v>
      </c>
      <c r="E28" s="337" t="str">
        <f t="shared" si="0"/>
        <v>-</v>
      </c>
      <c r="H28" s="24"/>
      <c r="I28" s="24"/>
      <c r="J28" s="24"/>
      <c r="O28" s="172"/>
    </row>
    <row r="29" spans="2:15" ht="15.05" customHeight="1" x14ac:dyDescent="0.3">
      <c r="B29" s="142" t="s">
        <v>87</v>
      </c>
      <c r="C29" s="161">
        <v>4.8499999999999996</v>
      </c>
      <c r="D29" s="145">
        <v>0.02</v>
      </c>
      <c r="E29" s="338" t="str">
        <f t="shared" si="0"/>
        <v>-</v>
      </c>
      <c r="H29" s="24"/>
      <c r="I29" s="24"/>
      <c r="J29" s="24"/>
      <c r="O29" s="172"/>
    </row>
    <row r="30" spans="2:15" ht="15.05" customHeight="1" x14ac:dyDescent="0.3">
      <c r="B30" s="142" t="s">
        <v>105</v>
      </c>
      <c r="C30" s="161">
        <v>5.6</v>
      </c>
      <c r="D30" s="145">
        <v>0.05</v>
      </c>
      <c r="E30" s="338" t="str">
        <f t="shared" si="0"/>
        <v>-</v>
      </c>
      <c r="H30" s="24"/>
      <c r="I30" s="24"/>
      <c r="J30" s="24"/>
      <c r="K30" s="175"/>
      <c r="O30" s="172"/>
    </row>
    <row r="31" spans="2:15" ht="15.05" customHeight="1" x14ac:dyDescent="0.3">
      <c r="B31" s="142" t="s">
        <v>88</v>
      </c>
      <c r="C31" s="161">
        <v>4.5</v>
      </c>
      <c r="D31" s="145">
        <v>0.03</v>
      </c>
      <c r="E31" s="338" t="str">
        <f t="shared" si="0"/>
        <v>-</v>
      </c>
      <c r="H31" s="24"/>
      <c r="I31" s="24"/>
      <c r="J31" s="24"/>
      <c r="K31" s="175"/>
    </row>
    <row r="32" spans="2:15" ht="15.05" customHeight="1" x14ac:dyDescent="0.3">
      <c r="B32" s="142" t="s">
        <v>89</v>
      </c>
      <c r="C32" s="161">
        <v>4.25</v>
      </c>
      <c r="D32" s="145">
        <v>0.05</v>
      </c>
      <c r="E32" s="338" t="str">
        <f t="shared" si="0"/>
        <v>-</v>
      </c>
      <c r="I32" s="166"/>
    </row>
    <row r="33" spans="2:10" ht="15.05" customHeight="1" x14ac:dyDescent="0.3">
      <c r="B33" s="142" t="s">
        <v>90</v>
      </c>
      <c r="C33" s="161">
        <v>4.2</v>
      </c>
      <c r="D33" s="145">
        <v>0.02</v>
      </c>
      <c r="E33" s="338" t="str">
        <f t="shared" si="0"/>
        <v>-</v>
      </c>
    </row>
    <row r="34" spans="2:10" ht="15.05" customHeight="1" x14ac:dyDescent="0.3">
      <c r="B34" s="142" t="s">
        <v>91</v>
      </c>
      <c r="C34" s="161">
        <v>5.2</v>
      </c>
      <c r="D34" s="145">
        <v>0.03</v>
      </c>
      <c r="E34" s="338" t="str">
        <f t="shared" si="0"/>
        <v>-</v>
      </c>
    </row>
    <row r="35" spans="2:10" ht="15.05" customHeight="1" x14ac:dyDescent="0.3">
      <c r="B35" s="142" t="s">
        <v>104</v>
      </c>
      <c r="C35" s="161">
        <v>4.0999999999999996</v>
      </c>
      <c r="D35" s="145">
        <v>0.05</v>
      </c>
      <c r="E35" s="338" t="str">
        <f t="shared" si="0"/>
        <v>-</v>
      </c>
      <c r="H35" s="172"/>
      <c r="I35" s="166"/>
    </row>
    <row r="36" spans="2:10" ht="15.05" customHeight="1" x14ac:dyDescent="0.3">
      <c r="B36" s="142" t="s">
        <v>92</v>
      </c>
      <c r="C36" s="161">
        <v>5.9</v>
      </c>
      <c r="D36" s="145">
        <v>0.05</v>
      </c>
      <c r="E36" s="338" t="str">
        <f t="shared" si="0"/>
        <v>-</v>
      </c>
      <c r="I36" s="166"/>
    </row>
    <row r="37" spans="2:10" ht="15.05" customHeight="1" x14ac:dyDescent="0.3">
      <c r="B37" s="142" t="s">
        <v>93</v>
      </c>
      <c r="C37" s="161">
        <v>4</v>
      </c>
      <c r="D37" s="145">
        <v>0.05</v>
      </c>
      <c r="E37" s="338" t="str">
        <f t="shared" si="0"/>
        <v>-</v>
      </c>
      <c r="G37" s="172"/>
      <c r="I37" s="166"/>
    </row>
    <row r="38" spans="2:10" ht="15.05" customHeight="1" x14ac:dyDescent="0.3">
      <c r="B38" s="142" t="s">
        <v>94</v>
      </c>
      <c r="C38" s="161">
        <v>2.5499999999999998</v>
      </c>
      <c r="D38" s="145">
        <v>3.5000000000000003E-2</v>
      </c>
      <c r="E38" s="338" t="str">
        <f t="shared" si="0"/>
        <v>-</v>
      </c>
      <c r="G38" s="172"/>
      <c r="I38" s="166"/>
    </row>
    <row r="39" spans="2:10" ht="15.05" customHeight="1" x14ac:dyDescent="0.25">
      <c r="B39" s="142" t="s">
        <v>95</v>
      </c>
      <c r="C39" s="161">
        <v>3.4</v>
      </c>
      <c r="D39" s="145">
        <v>0.02</v>
      </c>
      <c r="E39" s="338" t="str">
        <f t="shared" si="0"/>
        <v>-</v>
      </c>
      <c r="G39" s="172"/>
      <c r="H39" s="168"/>
      <c r="I39" s="166"/>
    </row>
    <row r="40" spans="2:10" ht="15.05" customHeight="1" x14ac:dyDescent="0.3">
      <c r="B40" s="142" t="s">
        <v>96</v>
      </c>
      <c r="C40" s="161">
        <v>5</v>
      </c>
      <c r="D40" s="145">
        <v>0.03</v>
      </c>
      <c r="E40" s="338" t="str">
        <f t="shared" si="0"/>
        <v>-</v>
      </c>
      <c r="G40" s="172"/>
      <c r="I40" s="166"/>
    </row>
    <row r="41" spans="2:10" ht="15.05" customHeight="1" x14ac:dyDescent="0.3">
      <c r="B41" s="142" t="s">
        <v>97</v>
      </c>
      <c r="C41" s="161">
        <v>4.5999999999999996</v>
      </c>
      <c r="D41" s="145">
        <v>0.03</v>
      </c>
      <c r="E41" s="338" t="str">
        <f t="shared" si="0"/>
        <v>-</v>
      </c>
      <c r="G41" s="172"/>
      <c r="I41" s="166"/>
    </row>
    <row r="42" spans="2:10" ht="15.05" customHeight="1" x14ac:dyDescent="0.3">
      <c r="B42" s="142" t="s">
        <v>98</v>
      </c>
      <c r="C42" s="180">
        <v>4.4529999999999994</v>
      </c>
      <c r="D42" s="145">
        <v>0.03</v>
      </c>
      <c r="E42" s="338" t="str">
        <f t="shared" si="0"/>
        <v>-</v>
      </c>
      <c r="G42" s="172"/>
      <c r="I42" s="166"/>
      <c r="J42" s="172"/>
    </row>
    <row r="43" spans="2:10" ht="15.05" customHeight="1" x14ac:dyDescent="0.3">
      <c r="B43" s="142" t="s">
        <v>99</v>
      </c>
      <c r="C43" s="161">
        <v>5.0999999999999996</v>
      </c>
      <c r="D43" s="145">
        <v>0.03</v>
      </c>
      <c r="E43" s="338" t="str">
        <f t="shared" si="0"/>
        <v>-</v>
      </c>
      <c r="G43" s="172"/>
      <c r="I43" s="166"/>
      <c r="J43" s="172"/>
    </row>
    <row r="44" spans="2:10" ht="15.05" customHeight="1" x14ac:dyDescent="0.3">
      <c r="B44" s="142" t="s">
        <v>100</v>
      </c>
      <c r="C44" s="161">
        <v>3.8</v>
      </c>
      <c r="D44" s="145">
        <v>0.02</v>
      </c>
      <c r="E44" s="338" t="str">
        <f t="shared" si="0"/>
        <v>-</v>
      </c>
      <c r="I44" s="166"/>
    </row>
    <row r="45" spans="2:10" ht="15.05" customHeight="1" x14ac:dyDescent="0.3">
      <c r="B45" s="142" t="s">
        <v>101</v>
      </c>
      <c r="C45" s="161">
        <v>3.5</v>
      </c>
      <c r="D45" s="145">
        <v>0.03</v>
      </c>
      <c r="E45" s="338" t="str">
        <f t="shared" si="0"/>
        <v>-</v>
      </c>
      <c r="I45" s="166"/>
    </row>
    <row r="46" spans="2:10" ht="15.05" customHeight="1" x14ac:dyDescent="0.3">
      <c r="B46" s="142" t="s">
        <v>102</v>
      </c>
      <c r="C46" s="161">
        <v>5.3</v>
      </c>
      <c r="D46" s="145">
        <v>0.03</v>
      </c>
      <c r="E46" s="338" t="str">
        <f t="shared" si="0"/>
        <v>-</v>
      </c>
      <c r="I46" s="166"/>
    </row>
    <row r="47" spans="2:10" ht="15.05" customHeight="1" thickBot="1" x14ac:dyDescent="0.35">
      <c r="B47" s="143" t="s">
        <v>103</v>
      </c>
      <c r="C47" s="332">
        <v>4.6500000000000004</v>
      </c>
      <c r="D47" s="146">
        <v>0.04</v>
      </c>
      <c r="E47" s="339" t="str">
        <f t="shared" si="0"/>
        <v>-</v>
      </c>
      <c r="I47" s="166"/>
    </row>
    <row r="48" spans="2:10" ht="15.05" customHeight="1" x14ac:dyDescent="0.3">
      <c r="B48" s="412" t="s">
        <v>131</v>
      </c>
      <c r="C48" s="413"/>
      <c r="D48" s="413"/>
      <c r="E48" s="414"/>
      <c r="I48" s="166"/>
    </row>
    <row r="49" spans="2:9" ht="45.1" customHeight="1" x14ac:dyDescent="0.3">
      <c r="B49" s="376" t="s">
        <v>170</v>
      </c>
      <c r="C49" s="377"/>
      <c r="D49" s="377"/>
      <c r="E49" s="378"/>
    </row>
    <row r="50" spans="2:9" ht="45.1" customHeight="1" x14ac:dyDescent="0.3">
      <c r="B50" s="376" t="s">
        <v>167</v>
      </c>
      <c r="C50" s="377"/>
      <c r="D50" s="377"/>
      <c r="E50" s="378"/>
    </row>
    <row r="51" spans="2:9" ht="15.05" customHeight="1" x14ac:dyDescent="0.3">
      <c r="B51" s="176" t="s">
        <v>130</v>
      </c>
      <c r="C51" s="175"/>
      <c r="D51" s="175"/>
      <c r="E51" s="177"/>
    </row>
    <row r="52" spans="2:9" ht="45.1" customHeight="1" x14ac:dyDescent="0.3">
      <c r="B52" s="178"/>
      <c r="C52" s="175"/>
      <c r="D52" s="175"/>
      <c r="E52" s="177"/>
    </row>
    <row r="53" spans="2:9" ht="15.05" customHeight="1" thickBot="1" x14ac:dyDescent="0.35">
      <c r="B53" s="326" t="s">
        <v>165</v>
      </c>
      <c r="C53" s="327"/>
      <c r="D53" s="327"/>
      <c r="E53" s="328"/>
    </row>
    <row r="54" spans="2:9" ht="15.05" customHeight="1" x14ac:dyDescent="0.3">
      <c r="I54" s="166"/>
    </row>
    <row r="55" spans="2:9" ht="15.05" customHeight="1" x14ac:dyDescent="0.3">
      <c r="I55" s="166"/>
    </row>
    <row r="56" spans="2:9" ht="15.05" customHeight="1" x14ac:dyDescent="0.3">
      <c r="I56" s="166"/>
    </row>
    <row r="59" spans="2:9" ht="15.05" customHeight="1" x14ac:dyDescent="0.3">
      <c r="I59" s="166"/>
    </row>
    <row r="60" spans="2:9" ht="15.05" customHeight="1" x14ac:dyDescent="0.3">
      <c r="I60" s="166"/>
    </row>
    <row r="61" spans="2:9" ht="15.05" customHeight="1" x14ac:dyDescent="0.3">
      <c r="I61" s="166"/>
    </row>
    <row r="63" spans="2:9" ht="15.05" customHeight="1" x14ac:dyDescent="0.3">
      <c r="C63" s="175"/>
      <c r="D63" s="175"/>
      <c r="E63" s="167"/>
      <c r="I63" s="166"/>
    </row>
    <row r="64" spans="2:9" ht="15.05" customHeight="1" x14ac:dyDescent="0.3">
      <c r="C64" s="175"/>
      <c r="D64" s="175"/>
      <c r="E64" s="167"/>
      <c r="I64" s="166"/>
    </row>
    <row r="65" spans="3:9" ht="15.05" customHeight="1" x14ac:dyDescent="0.3">
      <c r="C65" s="175"/>
      <c r="D65" s="175"/>
      <c r="E65" s="167"/>
      <c r="I65" s="166"/>
    </row>
    <row r="66" spans="3:9" ht="15.05" customHeight="1" x14ac:dyDescent="0.3">
      <c r="I66" s="166"/>
    </row>
    <row r="68" spans="3:9" ht="15.05" customHeight="1" x14ac:dyDescent="0.3">
      <c r="I68" s="166"/>
    </row>
    <row r="69" spans="3:9" ht="15.05" customHeight="1" x14ac:dyDescent="0.3">
      <c r="I69" s="166"/>
    </row>
    <row r="70" spans="3:9" ht="15.05" customHeight="1" x14ac:dyDescent="0.3">
      <c r="I70" s="166"/>
    </row>
    <row r="71" spans="3:9" ht="15.05" customHeight="1" x14ac:dyDescent="0.3">
      <c r="I71" s="166"/>
    </row>
    <row r="72" spans="3:9" ht="15.05" customHeight="1" x14ac:dyDescent="0.3">
      <c r="I72" s="166"/>
    </row>
    <row r="73" spans="3:9" ht="15.05" customHeight="1" x14ac:dyDescent="0.3">
      <c r="I73" s="166"/>
    </row>
    <row r="74" spans="3:9" ht="15.05" customHeight="1" x14ac:dyDescent="0.3">
      <c r="I74" s="166"/>
    </row>
    <row r="82" spans="9:9" ht="15.05" customHeight="1" x14ac:dyDescent="0.3">
      <c r="I82" s="166"/>
    </row>
    <row r="85" spans="9:9" ht="15.05" customHeight="1" x14ac:dyDescent="0.3">
      <c r="I85" s="166"/>
    </row>
  </sheetData>
  <sheetProtection sheet="1" selectLockedCells="1"/>
  <mergeCells count="22">
    <mergeCell ref="B5:E5"/>
    <mergeCell ref="B2:E2"/>
    <mergeCell ref="B3:E3"/>
    <mergeCell ref="C12:E12"/>
    <mergeCell ref="B48:E48"/>
    <mergeCell ref="B25:E25"/>
    <mergeCell ref="B49:E49"/>
    <mergeCell ref="B50:E50"/>
    <mergeCell ref="B17:E17"/>
    <mergeCell ref="C6:E6"/>
    <mergeCell ref="C7:E7"/>
    <mergeCell ref="C8:E8"/>
    <mergeCell ref="C9:E9"/>
    <mergeCell ref="C10:E10"/>
    <mergeCell ref="C11:E11"/>
    <mergeCell ref="C14:E14"/>
    <mergeCell ref="C15:E15"/>
    <mergeCell ref="C13:E13"/>
    <mergeCell ref="B19:B20"/>
    <mergeCell ref="E19:E20"/>
    <mergeCell ref="B22:B23"/>
    <mergeCell ref="E22:E23"/>
  </mergeCells>
  <phoneticPr fontId="8" type="noConversion"/>
  <conditionalFormatting sqref="C15">
    <cfRule type="expression" dxfId="4" priority="5">
      <formula>$C$14&lt;&gt;"Lucro real - Incidência cumulativa de PIS e COFINS"</formula>
    </cfRule>
  </conditionalFormatting>
  <conditionalFormatting sqref="D27 D29:D47">
    <cfRule type="expression" dxfId="3" priority="20">
      <formula>AND($C$14="Simples Nacional",#REF!&lt;&gt;6)</formula>
    </cfRule>
  </conditionalFormatting>
  <conditionalFormatting sqref="D28">
    <cfRule type="expression" dxfId="2" priority="4">
      <formula>AND($C$14="Simples Nacional",#REF!&lt;&gt;6)</formula>
    </cfRule>
  </conditionalFormatting>
  <conditionalFormatting sqref="E27 E29:E47">
    <cfRule type="expression" dxfId="1" priority="2">
      <formula>AND($C$14="Simples Nacional",#REF!&lt;&gt;6)</formula>
    </cfRule>
  </conditionalFormatting>
  <conditionalFormatting sqref="E28">
    <cfRule type="expression" dxfId="0" priority="1">
      <formula>AND($C$14="Simples Nacional",#REF!&lt;&gt;6)</formula>
    </cfRule>
  </conditionalFormatting>
  <dataValidations disablePrompts="1" count="4">
    <dataValidation type="list" allowBlank="1" showInputMessage="1" showErrorMessage="1" sqref="C15" xr:uid="{00000000-0002-0000-0000-000000000000}">
      <formula1>"Sim,Não"</formula1>
    </dataValidation>
    <dataValidation type="list" allowBlank="1" showInputMessage="1" showErrorMessage="1" sqref="C12" xr:uid="{00000000-0002-0000-0000-000001000000}">
      <formula1>"3%"</formula1>
    </dataValidation>
    <dataValidation type="decimal" allowBlank="1" showInputMessage="1" showErrorMessage="1" sqref="C13" xr:uid="{00000000-0002-0000-0000-000002000000}">
      <formula1>0.5</formula1>
      <formula2>2</formula2>
    </dataValidation>
    <dataValidation type="list" allowBlank="1" showInputMessage="1" showErrorMessage="1" sqref="C14" xr:uid="{00000000-0002-0000-0000-000003000000}">
      <formula1>"Lucro presumido - Incidência cumulativa de PIS e COFINS,Lucro real - Incidência cumulativa de PIS e COFINS,"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H66"/>
  <sheetViews>
    <sheetView topLeftCell="A34" workbookViewId="0">
      <selection activeCell="C23" sqref="C23"/>
    </sheetView>
  </sheetViews>
  <sheetFormatPr defaultColWidth="9.109375" defaultRowHeight="13.15" x14ac:dyDescent="0.25"/>
  <cols>
    <col min="1" max="1" width="2.88671875" style="181" customWidth="1"/>
    <col min="2" max="2" width="49.88671875" style="181" customWidth="1"/>
    <col min="3" max="5" width="21.6640625" style="181" customWidth="1"/>
    <col min="6" max="6" width="69.33203125" style="181" bestFit="1" customWidth="1"/>
    <col min="7" max="7" width="9.109375" style="181"/>
    <col min="8" max="8" width="35.33203125" style="181" customWidth="1"/>
    <col min="9" max="9" width="3.88671875" style="181" customWidth="1"/>
    <col min="10" max="10" width="43.109375" style="181" customWidth="1"/>
    <col min="11" max="11" width="9.109375" style="181"/>
    <col min="12" max="12" width="12" style="181" customWidth="1"/>
    <col min="13" max="16384" width="9.109375" style="181"/>
  </cols>
  <sheetData>
    <row r="1" spans="2:8" ht="15.05" customHeight="1" thickBot="1" x14ac:dyDescent="0.3"/>
    <row r="2" spans="2:8" ht="15.85" customHeight="1" thickBot="1" x14ac:dyDescent="0.3">
      <c r="B2" s="403" t="s">
        <v>147</v>
      </c>
      <c r="C2" s="404"/>
      <c r="D2" s="404"/>
      <c r="E2" s="405"/>
    </row>
    <row r="3" spans="2:8" ht="59.95" customHeight="1" thickBot="1" x14ac:dyDescent="0.3">
      <c r="B3" s="406" t="s">
        <v>169</v>
      </c>
      <c r="C3" s="407"/>
      <c r="D3" s="407"/>
      <c r="E3" s="408"/>
    </row>
    <row r="4" spans="2:8" ht="15.05" customHeight="1" thickBot="1" x14ac:dyDescent="0.3"/>
    <row r="5" spans="2:8" ht="13.8" thickBot="1" x14ac:dyDescent="0.3">
      <c r="B5" s="184" t="s">
        <v>0</v>
      </c>
      <c r="C5" s="367" t="s">
        <v>155</v>
      </c>
      <c r="D5" s="185"/>
    </row>
    <row r="6" spans="2:8" ht="13.8" thickBot="1" x14ac:dyDescent="0.3">
      <c r="B6" s="186" t="s">
        <v>149</v>
      </c>
      <c r="C6" s="139">
        <v>24.51</v>
      </c>
      <c r="D6" s="421" t="s">
        <v>163</v>
      </c>
      <c r="E6" s="422"/>
    </row>
    <row r="7" spans="2:8" ht="13.8" thickBot="1" x14ac:dyDescent="0.3">
      <c r="B7" s="187" t="s">
        <v>109</v>
      </c>
      <c r="C7" s="140">
        <v>12</v>
      </c>
      <c r="D7" s="26"/>
    </row>
    <row r="8" spans="2:8" ht="15.65" thickBot="1" x14ac:dyDescent="0.35">
      <c r="B8" s="167"/>
      <c r="C8" s="183"/>
      <c r="D8" s="183"/>
      <c r="E8" s="26"/>
    </row>
    <row r="9" spans="2:8" ht="15.85" customHeight="1" thickBot="1" x14ac:dyDescent="0.3">
      <c r="B9" s="167"/>
      <c r="C9" s="415" t="s">
        <v>116</v>
      </c>
      <c r="D9" s="416"/>
      <c r="E9" s="417"/>
    </row>
    <row r="10" spans="2:8" ht="26.95" thickBot="1" x14ac:dyDescent="0.35">
      <c r="B10" s="182"/>
      <c r="C10" s="188" t="s">
        <v>85</v>
      </c>
      <c r="D10" s="189" t="s">
        <v>77</v>
      </c>
      <c r="E10" s="303" t="s">
        <v>164</v>
      </c>
      <c r="G10" s="24"/>
      <c r="H10" s="24"/>
    </row>
    <row r="11" spans="2:8" ht="15.05" customHeight="1" x14ac:dyDescent="0.3">
      <c r="B11" s="190" t="s">
        <v>136</v>
      </c>
      <c r="C11" s="117">
        <f>C13+C12</f>
        <v>0</v>
      </c>
      <c r="D11" s="117">
        <f>D13+D12</f>
        <v>0</v>
      </c>
      <c r="E11" s="340">
        <f>E13+E12</f>
        <v>0</v>
      </c>
      <c r="F11" s="191"/>
      <c r="G11" s="24"/>
      <c r="H11" s="24"/>
    </row>
    <row r="12" spans="2:8" ht="15.05" x14ac:dyDescent="0.3">
      <c r="B12" s="7" t="s">
        <v>60</v>
      </c>
      <c r="C12" s="103"/>
      <c r="D12" s="103"/>
      <c r="E12" s="341"/>
      <c r="G12" s="24"/>
      <c r="H12" s="24"/>
    </row>
    <row r="13" spans="2:8" ht="15.05" x14ac:dyDescent="0.3">
      <c r="B13" s="7" t="s">
        <v>59</v>
      </c>
      <c r="C13" s="8">
        <v>0</v>
      </c>
      <c r="D13" s="8">
        <f>ROUND($D$12*0.2,2)</f>
        <v>0</v>
      </c>
      <c r="E13" s="342">
        <v>0</v>
      </c>
      <c r="G13" s="24"/>
      <c r="H13" s="24"/>
    </row>
    <row r="14" spans="2:8" ht="15.05" x14ac:dyDescent="0.3">
      <c r="B14" s="7"/>
      <c r="C14" s="8"/>
      <c r="D14" s="8"/>
      <c r="E14" s="342"/>
      <c r="G14" s="24"/>
      <c r="H14" s="24"/>
    </row>
    <row r="15" spans="2:8" ht="15.05" x14ac:dyDescent="0.3">
      <c r="B15" s="192" t="s">
        <v>137</v>
      </c>
      <c r="C15" s="4">
        <f>C20+C16+C26+C29+C32+C35+C36</f>
        <v>236.77</v>
      </c>
      <c r="D15" s="4">
        <f t="shared" ref="D15:E15" si="0">D20+D16+D26+D29+D32+D35+D36</f>
        <v>236.77</v>
      </c>
      <c r="E15" s="343">
        <f t="shared" si="0"/>
        <v>236.77</v>
      </c>
      <c r="G15" s="24"/>
      <c r="H15" s="24"/>
    </row>
    <row r="16" spans="2:8" ht="15.05" x14ac:dyDescent="0.3">
      <c r="B16" s="193" t="s">
        <v>8</v>
      </c>
      <c r="C16" s="9">
        <f>C17+C18+C19</f>
        <v>236.77</v>
      </c>
      <c r="D16" s="9">
        <f t="shared" ref="D16:E16" si="1">D17+D18+D19</f>
        <v>236.77</v>
      </c>
      <c r="E16" s="344">
        <f t="shared" si="1"/>
        <v>236.77</v>
      </c>
      <c r="G16" s="24"/>
      <c r="H16" s="24"/>
    </row>
    <row r="17" spans="2:8" ht="15.05" x14ac:dyDescent="0.3">
      <c r="B17" s="194" t="s">
        <v>5</v>
      </c>
      <c r="C17" s="195">
        <f>ROUND(VLOOKUP($C$5,'Dados da empresa'!$B$26:$C$47,MATCH($B$16,'Dados da empresa'!$B$26:$C$26,0),FALSE)*$C$6*2,2)</f>
        <v>236.77</v>
      </c>
      <c r="D17" s="195">
        <f>ROUND(VLOOKUP($C$5,'Dados da empresa'!$B$26:$C$47,MATCH($B$16,'Dados da empresa'!$B$26:$C$26,0),FALSE)*$C$6*2,2)</f>
        <v>236.77</v>
      </c>
      <c r="E17" s="345">
        <f>ROUND(VLOOKUP($C$5,'Dados da empresa'!$B$26:$C$47,MATCH($B$16,'Dados da empresa'!$B$26:$C$26,0),FALSE)*$C$6*2,2)</f>
        <v>236.77</v>
      </c>
      <c r="G17" s="24"/>
      <c r="H17" s="24"/>
    </row>
    <row r="18" spans="2:8" ht="15.05" x14ac:dyDescent="0.3">
      <c r="B18" s="194" t="s">
        <v>61</v>
      </c>
      <c r="C18" s="10">
        <f>ROUND(-C12*0.06,2)</f>
        <v>0</v>
      </c>
      <c r="D18" s="10">
        <f t="shared" ref="D18:E18" si="2">ROUND(-D12*0.06,2)</f>
        <v>0</v>
      </c>
      <c r="E18" s="346">
        <f t="shared" si="2"/>
        <v>0</v>
      </c>
      <c r="G18" s="24"/>
      <c r="H18" s="24"/>
    </row>
    <row r="19" spans="2:8" ht="15.05" x14ac:dyDescent="0.3">
      <c r="B19" s="11" t="s">
        <v>55</v>
      </c>
      <c r="C19" s="10">
        <f>IF(AND('Dados da empresa'!$C$14="Lucro real - Incidência cumulativa de PIS e COFINS",'Dados da empresa'!C15="Sim"),-ROUND((C17+C18)*0.0925,2),0)</f>
        <v>0</v>
      </c>
      <c r="D19" s="10">
        <f>IF(AND('Dados da empresa'!$C$14="Lucro real - Incidência cumulativa de PIS e COFINS",'Dados da empresa'!C15="Sim"),-ROUND((D17+D18)*0.0925,2),0)</f>
        <v>0</v>
      </c>
      <c r="E19" s="346">
        <f>IF(AND('Dados da empresa'!$C$14="Lucro real - Incidência cumulativa de PIS e COFINS",'Dados da empresa'!C15="Sim"),-ROUND((E17+E18)*0.0925,2),0)</f>
        <v>0</v>
      </c>
      <c r="G19" s="24"/>
      <c r="H19" s="24"/>
    </row>
    <row r="20" spans="2:8" ht="15.05" x14ac:dyDescent="0.3">
      <c r="B20" s="193" t="s">
        <v>7</v>
      </c>
      <c r="C20" s="9">
        <f>ROUND(C21*$C$6,2)+C24+C25</f>
        <v>0</v>
      </c>
      <c r="D20" s="9">
        <f>ROUND(D21*$C$6,2)+D24+D25</f>
        <v>0</v>
      </c>
      <c r="E20" s="344">
        <f>ROUND(E21*$C$6,2)+E24+E25</f>
        <v>0</v>
      </c>
      <c r="G20" s="24"/>
      <c r="H20" s="24"/>
    </row>
    <row r="21" spans="2:8" ht="15.05" x14ac:dyDescent="0.3">
      <c r="B21" s="11" t="s">
        <v>62</v>
      </c>
      <c r="C21" s="10">
        <f>C22+C23</f>
        <v>0</v>
      </c>
      <c r="D21" s="10">
        <f>D22+D23</f>
        <v>0</v>
      </c>
      <c r="E21" s="346">
        <f>E22+E23</f>
        <v>0</v>
      </c>
      <c r="G21" s="24"/>
      <c r="H21" s="24"/>
    </row>
    <row r="22" spans="2:8" ht="15.05" x14ac:dyDescent="0.3">
      <c r="B22" s="12" t="s">
        <v>16</v>
      </c>
      <c r="C22" s="103"/>
      <c r="D22" s="103"/>
      <c r="E22" s="341"/>
      <c r="G22" s="24"/>
      <c r="H22" s="24"/>
    </row>
    <row r="23" spans="2:8" ht="15.05" x14ac:dyDescent="0.3">
      <c r="B23" s="12" t="s">
        <v>54</v>
      </c>
      <c r="C23" s="103"/>
      <c r="D23" s="103"/>
      <c r="E23" s="341"/>
      <c r="G23" s="24"/>
      <c r="H23" s="24"/>
    </row>
    <row r="24" spans="2:8" ht="15.05" x14ac:dyDescent="0.3">
      <c r="B24" s="89" t="s">
        <v>63</v>
      </c>
      <c r="C24" s="10">
        <f>ROUND(C22/12,2)</f>
        <v>0</v>
      </c>
      <c r="D24" s="10">
        <f>ROUND(D22/12,2)</f>
        <v>0</v>
      </c>
      <c r="E24" s="346">
        <f>ROUND(E22/12,2)</f>
        <v>0</v>
      </c>
      <c r="G24" s="24"/>
      <c r="H24" s="24"/>
    </row>
    <row r="25" spans="2:8" ht="15.05" x14ac:dyDescent="0.3">
      <c r="B25" s="11" t="s">
        <v>55</v>
      </c>
      <c r="C25" s="10">
        <f>IF(AND('Dados da empresa'!$C$14="Lucro real - Incidência cumulativa de PIS e COFINS",'Dados da empresa'!C15="Sim"),-ROUND((C22*$C$6+C23*$C$6+C24)*0.0925,2),0)</f>
        <v>0</v>
      </c>
      <c r="D25" s="10">
        <f>IF(AND('Dados da empresa'!$C$14="Lucro real - Incidência cumulativa de PIS e COFINS",'Dados da empresa'!C15="Sim"),-ROUND((D22*$C$6+D23*$C$6+D24)*0.0925,2),0)</f>
        <v>0</v>
      </c>
      <c r="E25" s="346">
        <f>IF(AND('Dados da empresa'!$C$14="Lucro real - Incidência cumulativa de PIS e COFINS",'Dados da empresa'!C15="Sim"),-ROUND((E22*$C$6+E23*$C$6+E24)*0.0925,2),0)</f>
        <v>0</v>
      </c>
      <c r="G25" s="24"/>
      <c r="H25" s="24"/>
    </row>
    <row r="26" spans="2:8" ht="15.05" x14ac:dyDescent="0.3">
      <c r="B26" s="193" t="s">
        <v>10</v>
      </c>
      <c r="C26" s="9">
        <f>C27+C28</f>
        <v>0</v>
      </c>
      <c r="D26" s="9">
        <f>D27+D28</f>
        <v>0</v>
      </c>
      <c r="E26" s="344">
        <f>E27+E28</f>
        <v>0</v>
      </c>
      <c r="G26" s="24"/>
      <c r="H26" s="24"/>
    </row>
    <row r="27" spans="2:8" ht="15.05" x14ac:dyDescent="0.3">
      <c r="B27" s="11" t="s">
        <v>15</v>
      </c>
      <c r="C27" s="103"/>
      <c r="D27" s="103"/>
      <c r="E27" s="341"/>
      <c r="G27" s="24"/>
      <c r="H27" s="24"/>
    </row>
    <row r="28" spans="2:8" ht="15.05" x14ac:dyDescent="0.3">
      <c r="B28" s="11" t="s">
        <v>55</v>
      </c>
      <c r="C28" s="10">
        <f>IF(AND('Dados da empresa'!$C$14="Lucro real - Incidência cumulativa de PIS e COFINS",'Dados da empresa'!C15="Sim"),-ROUND(C27*0.0925,2),0)</f>
        <v>0</v>
      </c>
      <c r="D28" s="10">
        <f>IF(AND('Dados da empresa'!$C$14="Lucro real - Incidência cumulativa de PIS e COFINS",'Dados da empresa'!C15="Sim"),-ROUND(D27*0.0925,2),0)</f>
        <v>0</v>
      </c>
      <c r="E28" s="346">
        <f>IF(AND('Dados da empresa'!$C$14="Lucro real - Incidência cumulativa de PIS e COFINS",'Dados da empresa'!C15="Sim"),-ROUND(E27*0.0925,2),0)</f>
        <v>0</v>
      </c>
      <c r="G28" s="24"/>
      <c r="H28" s="24"/>
    </row>
    <row r="29" spans="2:8" ht="15.05" x14ac:dyDescent="0.3">
      <c r="B29" s="312" t="s">
        <v>151</v>
      </c>
      <c r="C29" s="13">
        <f>C30+C31</f>
        <v>0</v>
      </c>
      <c r="D29" s="13">
        <f t="shared" ref="D29:E29" si="3">D30+D31</f>
        <v>0</v>
      </c>
      <c r="E29" s="352">
        <f t="shared" si="3"/>
        <v>0</v>
      </c>
      <c r="G29" s="24"/>
      <c r="H29" s="24"/>
    </row>
    <row r="30" spans="2:8" ht="15.05" x14ac:dyDescent="0.3">
      <c r="B30" s="11" t="s">
        <v>15</v>
      </c>
      <c r="C30" s="316"/>
      <c r="D30" s="316"/>
      <c r="E30" s="347"/>
      <c r="G30" s="24"/>
      <c r="H30" s="24"/>
    </row>
    <row r="31" spans="2:8" ht="15.05" x14ac:dyDescent="0.3">
      <c r="B31" s="89" t="s">
        <v>55</v>
      </c>
      <c r="C31" s="14">
        <f>IF(AND('Dados da empresa'!$C$14="Lucro real - Incidência cumulativa de PIS e COFINS",'Dados da empresa'!$C$15="Sim"),-ROUND((C30)*0.0925,2),0)</f>
        <v>0</v>
      </c>
      <c r="D31" s="14">
        <f>IF(AND('Dados da empresa'!$C$14="Lucro real - Incidência cumulativa de PIS e COFINS",'Dados da empresa'!$C$15="Sim"),-ROUND((D30)*0.0925,2),0)</f>
        <v>0</v>
      </c>
      <c r="E31" s="348">
        <f>IF(AND('Dados da empresa'!$C$14="Lucro real - Incidência cumulativa de PIS e COFINS",'Dados da empresa'!$C$15="Sim"),-ROUND((E30)*0.0925,2),0)</f>
        <v>0</v>
      </c>
      <c r="G31" s="24"/>
      <c r="H31" s="24"/>
    </row>
    <row r="32" spans="2:8" ht="15.05" x14ac:dyDescent="0.3">
      <c r="B32" s="193" t="s">
        <v>56</v>
      </c>
      <c r="C32" s="9">
        <f>C33+C34</f>
        <v>0</v>
      </c>
      <c r="D32" s="9">
        <f>D33+D34</f>
        <v>0</v>
      </c>
      <c r="E32" s="344">
        <f>E33+E34</f>
        <v>0</v>
      </c>
      <c r="G32" s="24"/>
      <c r="H32" s="24"/>
    </row>
    <row r="33" spans="2:8" ht="15.05" x14ac:dyDescent="0.3">
      <c r="B33" s="11" t="s">
        <v>15</v>
      </c>
      <c r="C33" s="102"/>
      <c r="D33" s="102"/>
      <c r="E33" s="349"/>
      <c r="G33" s="24"/>
      <c r="H33" s="24"/>
    </row>
    <row r="34" spans="2:8" ht="15.05" x14ac:dyDescent="0.3">
      <c r="B34" s="11" t="s">
        <v>55</v>
      </c>
      <c r="C34" s="10">
        <f>IF(AND('Dados da empresa'!$C$14="Lucro real - Incidência cumulativa de PIS e COFINS",'Dados da empresa'!C15="Sim"),-ROUND(C33*0.0925,2),0)</f>
        <v>0</v>
      </c>
      <c r="D34" s="10">
        <f>IF(AND('Dados da empresa'!$C$14="Lucro real - Incidência cumulativa de PIS e COFINS",'Dados da empresa'!C15="Sim"),-ROUND(D33*0.0925,2),0)</f>
        <v>0</v>
      </c>
      <c r="E34" s="346">
        <f>IF(AND('Dados da empresa'!$C$14="Lucro real - Incidência cumulativa de PIS e COFINS",'Dados da empresa'!C15="Sim"),-ROUND(E33*0.0925,2),0)</f>
        <v>0</v>
      </c>
      <c r="G34" s="24"/>
      <c r="H34" s="24"/>
    </row>
    <row r="35" spans="2:8" ht="15.05" x14ac:dyDescent="0.3">
      <c r="B35" s="193" t="s">
        <v>9</v>
      </c>
      <c r="C35" s="165"/>
      <c r="D35" s="165"/>
      <c r="E35" s="350"/>
      <c r="G35" s="24"/>
      <c r="H35" s="24"/>
    </row>
    <row r="36" spans="2:8" ht="15.05" x14ac:dyDescent="0.3">
      <c r="B36" s="193" t="s">
        <v>11</v>
      </c>
      <c r="C36" s="165"/>
      <c r="D36" s="165"/>
      <c r="E36" s="350"/>
      <c r="G36" s="24"/>
      <c r="H36" s="24"/>
    </row>
    <row r="37" spans="2:8" ht="15.05" x14ac:dyDescent="0.3">
      <c r="B37" s="196"/>
      <c r="C37" s="15"/>
      <c r="D37" s="15"/>
      <c r="E37" s="351"/>
      <c r="G37" s="24"/>
      <c r="H37" s="24"/>
    </row>
    <row r="38" spans="2:8" ht="15.05" x14ac:dyDescent="0.3">
      <c r="B38" s="197" t="s">
        <v>138</v>
      </c>
      <c r="C38" s="4">
        <f>C39+C42</f>
        <v>0</v>
      </c>
      <c r="D38" s="4">
        <f>D39+D42</f>
        <v>0</v>
      </c>
      <c r="E38" s="343">
        <f>E39+E42</f>
        <v>0</v>
      </c>
      <c r="G38" s="24"/>
      <c r="H38" s="24"/>
    </row>
    <row r="39" spans="2:8" ht="15.05" x14ac:dyDescent="0.3">
      <c r="B39" s="193" t="s">
        <v>12</v>
      </c>
      <c r="C39" s="13">
        <f>C40+C41</f>
        <v>0</v>
      </c>
      <c r="D39" s="13">
        <f>D40+D41</f>
        <v>0</v>
      </c>
      <c r="E39" s="352">
        <f>E40+E41</f>
        <v>0</v>
      </c>
      <c r="G39" s="24"/>
      <c r="H39" s="24"/>
    </row>
    <row r="40" spans="2:8" ht="15.05" x14ac:dyDescent="0.3">
      <c r="B40" s="16" t="s">
        <v>5</v>
      </c>
      <c r="C40" s="103"/>
      <c r="D40" s="103"/>
      <c r="E40" s="341"/>
      <c r="G40" s="24"/>
      <c r="H40" s="24"/>
    </row>
    <row r="41" spans="2:8" ht="15.05" x14ac:dyDescent="0.3">
      <c r="B41" s="11" t="s">
        <v>55</v>
      </c>
      <c r="C41" s="10">
        <f>IF(AND('Dados da empresa'!$C$14="Lucro real - Incidência cumulativa de PIS e COFINS",'Dados da empresa'!C15="Sim"),-ROUND(C40*0.0925,2),0)</f>
        <v>0</v>
      </c>
      <c r="D41" s="10">
        <f>IF(AND('Dados da empresa'!$C$14="Lucro real - Incidência cumulativa de PIS e COFINS",'Dados da empresa'!C15="Sim"),-ROUND(D40*0.0925,2),0)</f>
        <v>0</v>
      </c>
      <c r="E41" s="346">
        <f>IF(AND('Dados da empresa'!$C$14="Lucro real - Incidência cumulativa de PIS e COFINS",'Dados da empresa'!C15="Sim"),-ROUND(E40*0.0925,2),0)</f>
        <v>0</v>
      </c>
      <c r="G41" s="24"/>
      <c r="H41" s="24"/>
    </row>
    <row r="42" spans="2:8" ht="15.05" x14ac:dyDescent="0.3">
      <c r="B42" s="193" t="s">
        <v>13</v>
      </c>
      <c r="C42" s="165"/>
      <c r="D42" s="165"/>
      <c r="E42" s="350"/>
      <c r="F42" s="191"/>
      <c r="G42" s="24"/>
      <c r="H42" s="24"/>
    </row>
    <row r="43" spans="2:8" ht="15.05" x14ac:dyDescent="0.3">
      <c r="B43" s="17"/>
      <c r="C43" s="18"/>
      <c r="D43" s="18"/>
      <c r="E43" s="353"/>
      <c r="G43" s="24"/>
      <c r="H43" s="24"/>
    </row>
    <row r="44" spans="2:8" ht="15.05" x14ac:dyDescent="0.3">
      <c r="B44" s="197" t="s">
        <v>139</v>
      </c>
      <c r="C44" s="3">
        <f>ROUND('Dados de custos'!C11*C45,2)</f>
        <v>0</v>
      </c>
      <c r="D44" s="3">
        <f>ROUND('Dados de custos'!D11*D45,2)</f>
        <v>0</v>
      </c>
      <c r="E44" s="354">
        <f>ROUND('Dados de custos'!E11*E45,2)</f>
        <v>0</v>
      </c>
      <c r="G44" s="24"/>
      <c r="H44" s="24"/>
    </row>
    <row r="45" spans="2:8" ht="15.05" x14ac:dyDescent="0.3">
      <c r="B45" s="196" t="s">
        <v>142</v>
      </c>
      <c r="C45" s="19">
        <f>'Encargos sociais'!$C$40</f>
        <v>0.62682870800000012</v>
      </c>
      <c r="D45" s="19">
        <f>'Encargos sociais'!$C$40</f>
        <v>0.62682870800000012</v>
      </c>
      <c r="E45" s="355">
        <f>'Encargos sociais'!$C$40</f>
        <v>0.62682870800000012</v>
      </c>
      <c r="F45" s="198"/>
      <c r="G45" s="24"/>
      <c r="H45" s="24"/>
    </row>
    <row r="46" spans="2:8" ht="15.05" x14ac:dyDescent="0.3">
      <c r="B46" s="194"/>
      <c r="C46" s="20"/>
      <c r="D46" s="20"/>
      <c r="E46" s="356"/>
      <c r="G46" s="24"/>
      <c r="H46" s="24"/>
    </row>
    <row r="47" spans="2:8" ht="15.05" x14ac:dyDescent="0.3">
      <c r="B47" s="199" t="s">
        <v>140</v>
      </c>
      <c r="C47" s="3" t="str">
        <f>IFERROR(ROUND((C44+C38+C15+C11)*C48,2),"-")</f>
        <v>-</v>
      </c>
      <c r="D47" s="3" t="str">
        <f t="shared" ref="D47:E47" si="4">IFERROR(ROUND((D44+D38+D15+D11)*D48,2),"-")</f>
        <v>-</v>
      </c>
      <c r="E47" s="354" t="str">
        <f t="shared" si="4"/>
        <v>-</v>
      </c>
      <c r="G47" s="24"/>
      <c r="H47" s="24"/>
    </row>
    <row r="48" spans="2:8" ht="15.05" x14ac:dyDescent="0.3">
      <c r="B48" s="200" t="s">
        <v>141</v>
      </c>
      <c r="C48" s="19" t="str">
        <f>VLOOKUP($C$5,'Dados da empresa'!$B$26:$E$47,4,FALSE)</f>
        <v>-</v>
      </c>
      <c r="D48" s="19" t="str">
        <f>VLOOKUP($C$5,'Dados da empresa'!$B$26:$E$47,4,FALSE)</f>
        <v>-</v>
      </c>
      <c r="E48" s="355" t="str">
        <f>VLOOKUP($C$5,'Dados da empresa'!$B$26:$E$47,4,FALSE)</f>
        <v>-</v>
      </c>
      <c r="G48" s="24"/>
      <c r="H48" s="24"/>
    </row>
    <row r="49" spans="2:5" ht="13.8" thickBot="1" x14ac:dyDescent="0.3">
      <c r="B49" s="201"/>
      <c r="C49" s="21"/>
      <c r="D49" s="21"/>
      <c r="E49" s="22"/>
    </row>
    <row r="50" spans="2:5" ht="14.4" thickTop="1" thickBot="1" x14ac:dyDescent="0.3">
      <c r="B50" s="202" t="s">
        <v>143</v>
      </c>
      <c r="C50" s="23" t="str">
        <f>IFERROR(C47+C44+C38+C15+C11,"-")</f>
        <v>-</v>
      </c>
      <c r="D50" s="23" t="str">
        <f t="shared" ref="D50:E50" si="5">IFERROR(D47+D44+D38+D15+D11,"-")</f>
        <v>-</v>
      </c>
      <c r="E50" s="313" t="str">
        <f t="shared" si="5"/>
        <v>-</v>
      </c>
    </row>
    <row r="51" spans="2:5" ht="13.8" thickBot="1" x14ac:dyDescent="0.3">
      <c r="B51" s="5"/>
      <c r="C51" s="6"/>
      <c r="D51" s="203"/>
      <c r="E51" s="6"/>
    </row>
    <row r="52" spans="2:5" ht="13.8" thickBot="1" x14ac:dyDescent="0.3">
      <c r="B52" s="204" t="s">
        <v>145</v>
      </c>
      <c r="C52" s="136" t="str">
        <f>IFERROR(ROUND(C50/$C$6,2),"-")</f>
        <v>-</v>
      </c>
      <c r="D52" s="136" t="str">
        <f t="shared" ref="D52:E52" si="6">IFERROR(ROUND(D50/$C$6,2),"-")</f>
        <v>-</v>
      </c>
      <c r="E52" s="357" t="str">
        <f t="shared" si="6"/>
        <v>-</v>
      </c>
    </row>
    <row r="53" spans="2:5" ht="13.8" thickBot="1" x14ac:dyDescent="0.3"/>
    <row r="54" spans="2:5" ht="13.8" thickBot="1" x14ac:dyDescent="0.3">
      <c r="B54" s="418" t="s">
        <v>118</v>
      </c>
      <c r="C54" s="419"/>
      <c r="D54" s="419"/>
      <c r="E54" s="420"/>
    </row>
    <row r="55" spans="2:5" ht="13.8" thickBot="1" x14ac:dyDescent="0.3">
      <c r="B55" s="205" t="s">
        <v>4</v>
      </c>
      <c r="C55" s="334" t="s">
        <v>64</v>
      </c>
      <c r="D55" s="334" t="s">
        <v>65</v>
      </c>
      <c r="E55" s="358" t="s">
        <v>66</v>
      </c>
    </row>
    <row r="56" spans="2:5" ht="30.05" customHeight="1" x14ac:dyDescent="0.25">
      <c r="B56" s="288" t="s">
        <v>158</v>
      </c>
      <c r="C56" s="206" t="s">
        <v>81</v>
      </c>
      <c r="D56" s="206" t="s">
        <v>3</v>
      </c>
      <c r="E56" s="359"/>
    </row>
    <row r="57" spans="2:5" ht="30.05" customHeight="1" x14ac:dyDescent="0.25">
      <c r="B57" s="368" t="s">
        <v>159</v>
      </c>
      <c r="C57" s="207" t="s">
        <v>81</v>
      </c>
      <c r="D57" s="207" t="s">
        <v>3</v>
      </c>
      <c r="E57" s="360"/>
    </row>
    <row r="58" spans="2:5" ht="30.05" customHeight="1" x14ac:dyDescent="0.25">
      <c r="B58" s="288" t="s">
        <v>160</v>
      </c>
      <c r="C58" s="207" t="s">
        <v>81</v>
      </c>
      <c r="D58" s="207" t="s">
        <v>162</v>
      </c>
      <c r="E58" s="359"/>
    </row>
    <row r="59" spans="2:5" ht="30.05" customHeight="1" x14ac:dyDescent="0.25">
      <c r="B59" s="368" t="s">
        <v>161</v>
      </c>
      <c r="C59" s="207" t="s">
        <v>81</v>
      </c>
      <c r="D59" s="207" t="s">
        <v>162</v>
      </c>
      <c r="E59" s="359"/>
    </row>
    <row r="60" spans="2:5" ht="30.05" customHeight="1" x14ac:dyDescent="0.25">
      <c r="B60" s="368" t="s">
        <v>73</v>
      </c>
      <c r="C60" s="207" t="s">
        <v>81</v>
      </c>
      <c r="D60" s="207" t="s">
        <v>3</v>
      </c>
      <c r="E60" s="359"/>
    </row>
    <row r="61" spans="2:5" ht="30.05" customHeight="1" x14ac:dyDescent="0.25">
      <c r="B61" s="368" t="s">
        <v>74</v>
      </c>
      <c r="C61" s="207" t="s">
        <v>81</v>
      </c>
      <c r="D61" s="207" t="s">
        <v>3</v>
      </c>
      <c r="E61" s="360"/>
    </row>
    <row r="62" spans="2:5" ht="30.05" customHeight="1" x14ac:dyDescent="0.25">
      <c r="B62" s="368" t="s">
        <v>75</v>
      </c>
      <c r="C62" s="207" t="s">
        <v>81</v>
      </c>
      <c r="D62" s="207" t="s">
        <v>3</v>
      </c>
      <c r="E62" s="359"/>
    </row>
    <row r="63" spans="2:5" ht="30.05" customHeight="1" x14ac:dyDescent="0.25">
      <c r="B63" s="368" t="s">
        <v>76</v>
      </c>
      <c r="C63" s="207" t="s">
        <v>81</v>
      </c>
      <c r="D63" s="207" t="s">
        <v>3</v>
      </c>
      <c r="E63" s="360"/>
    </row>
    <row r="64" spans="2:5" ht="30.05" customHeight="1" thickBot="1" x14ac:dyDescent="0.3">
      <c r="B64" s="369" t="s">
        <v>6</v>
      </c>
      <c r="C64" s="208" t="s">
        <v>81</v>
      </c>
      <c r="D64" s="208" t="s">
        <v>67</v>
      </c>
      <c r="E64" s="333"/>
    </row>
    <row r="65" spans="2:5" ht="13.8" thickBot="1" x14ac:dyDescent="0.3">
      <c r="B65" s="209" t="s">
        <v>135</v>
      </c>
      <c r="C65" s="210"/>
      <c r="D65" s="210"/>
      <c r="E65" s="211"/>
    </row>
    <row r="66" spans="2:5" x14ac:dyDescent="0.25">
      <c r="B66" s="185"/>
      <c r="C66" s="185"/>
      <c r="D66" s="185"/>
      <c r="E66" s="185"/>
    </row>
  </sheetData>
  <sheetProtection sheet="1" selectLockedCells="1"/>
  <mergeCells count="5">
    <mergeCell ref="C9:E9"/>
    <mergeCell ref="B54:E54"/>
    <mergeCell ref="D6:E6"/>
    <mergeCell ref="B2:E2"/>
    <mergeCell ref="B3:E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'Dados da empresa'!$B$27:$B$47</xm:f>
          </x14:formula1>
          <xm:sqref>C5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D40"/>
  <sheetViews>
    <sheetView workbookViewId="0">
      <selection activeCell="C17" sqref="C17"/>
    </sheetView>
  </sheetViews>
  <sheetFormatPr defaultColWidth="9.109375" defaultRowHeight="15.05" x14ac:dyDescent="0.3"/>
  <cols>
    <col min="1" max="1" width="2.88671875" style="183" customWidth="1"/>
    <col min="2" max="2" width="69.33203125" style="183" bestFit="1" customWidth="1"/>
    <col min="3" max="3" width="9.33203125" style="183" customWidth="1"/>
    <col min="4" max="16384" width="9.109375" style="183"/>
  </cols>
  <sheetData>
    <row r="1" spans="2:3" ht="15.65" thickBot="1" x14ac:dyDescent="0.35"/>
    <row r="2" spans="2:3" ht="15.85" customHeight="1" thickBot="1" x14ac:dyDescent="0.35">
      <c r="B2" s="403" t="s">
        <v>147</v>
      </c>
      <c r="C2" s="405"/>
    </row>
    <row r="3" spans="2:3" ht="59.95" customHeight="1" thickBot="1" x14ac:dyDescent="0.35">
      <c r="B3" s="406" t="s">
        <v>153</v>
      </c>
      <c r="C3" s="408"/>
    </row>
    <row r="4" spans="2:3" ht="15.65" thickBot="1" x14ac:dyDescent="0.35"/>
    <row r="5" spans="2:3" ht="15.65" thickBot="1" x14ac:dyDescent="0.35">
      <c r="B5" s="423" t="s">
        <v>117</v>
      </c>
      <c r="C5" s="424"/>
    </row>
    <row r="6" spans="2:3" x14ac:dyDescent="0.3">
      <c r="B6" s="120" t="s">
        <v>23</v>
      </c>
      <c r="C6" s="361">
        <f>SUM(C7:C13)+C14</f>
        <v>0.33800000000000008</v>
      </c>
    </row>
    <row r="7" spans="2:3" x14ac:dyDescent="0.3">
      <c r="B7" s="119" t="s">
        <v>24</v>
      </c>
      <c r="C7" s="362">
        <v>0.2</v>
      </c>
    </row>
    <row r="8" spans="2:3" x14ac:dyDescent="0.3">
      <c r="B8" s="137" t="s">
        <v>25</v>
      </c>
      <c r="C8" s="362">
        <f>IF('Dados da empresa'!$C$14="Simples Nacional",0,1.5%)</f>
        <v>1.4999999999999999E-2</v>
      </c>
    </row>
    <row r="9" spans="2:3" x14ac:dyDescent="0.3">
      <c r="B9" s="137" t="s">
        <v>26</v>
      </c>
      <c r="C9" s="362">
        <f>IF('Dados da empresa'!$C$14="Simples Nacional",0,1%)</f>
        <v>0.01</v>
      </c>
    </row>
    <row r="10" spans="2:3" x14ac:dyDescent="0.3">
      <c r="B10" s="137" t="s">
        <v>27</v>
      </c>
      <c r="C10" s="362">
        <f>IF('Dados da empresa'!$C$14="Simples Nacional",0,0.2%)</f>
        <v>2E-3</v>
      </c>
    </row>
    <row r="11" spans="2:3" x14ac:dyDescent="0.3">
      <c r="B11" s="137" t="s">
        <v>28</v>
      </c>
      <c r="C11" s="362">
        <f>IF('Dados da empresa'!$C$14="Simples Nacional",0,0.6%)</f>
        <v>6.0000000000000001E-3</v>
      </c>
    </row>
    <row r="12" spans="2:3" x14ac:dyDescent="0.3">
      <c r="B12" s="137" t="s">
        <v>123</v>
      </c>
      <c r="C12" s="362">
        <f>IF('Dados da empresa'!$C$14="Simples Nacional",0,2.5%)</f>
        <v>2.5000000000000001E-2</v>
      </c>
    </row>
    <row r="13" spans="2:3" x14ac:dyDescent="0.3">
      <c r="B13" s="119" t="s">
        <v>29</v>
      </c>
      <c r="C13" s="362">
        <v>0.08</v>
      </c>
    </row>
    <row r="14" spans="2:3" x14ac:dyDescent="0.3">
      <c r="B14" s="119" t="s">
        <v>112</v>
      </c>
      <c r="C14" s="362">
        <f>'Dados da empresa'!C12*'Dados da empresa'!C13</f>
        <v>0</v>
      </c>
    </row>
    <row r="15" spans="2:3" x14ac:dyDescent="0.3">
      <c r="B15" s="118" t="s">
        <v>30</v>
      </c>
      <c r="C15" s="363">
        <f>SUM(C16:C21)</f>
        <v>9.1516E-2</v>
      </c>
    </row>
    <row r="16" spans="2:3" x14ac:dyDescent="0.3">
      <c r="B16" s="119" t="s">
        <v>31</v>
      </c>
      <c r="C16" s="364">
        <v>9.1516E-2</v>
      </c>
    </row>
    <row r="17" spans="2:4" x14ac:dyDescent="0.3">
      <c r="B17" s="119" t="s">
        <v>32</v>
      </c>
      <c r="C17" s="365"/>
    </row>
    <row r="18" spans="2:4" x14ac:dyDescent="0.3">
      <c r="B18" s="119" t="s">
        <v>33</v>
      </c>
      <c r="C18" s="365"/>
    </row>
    <row r="19" spans="2:4" x14ac:dyDescent="0.3">
      <c r="B19" s="137" t="s">
        <v>34</v>
      </c>
      <c r="C19" s="365"/>
    </row>
    <row r="20" spans="2:4" x14ac:dyDescent="0.3">
      <c r="B20" s="119" t="s">
        <v>35</v>
      </c>
      <c r="C20" s="365"/>
    </row>
    <row r="21" spans="2:4" x14ac:dyDescent="0.3">
      <c r="B21" s="119" t="s">
        <v>36</v>
      </c>
      <c r="C21" s="365"/>
    </row>
    <row r="22" spans="2:4" x14ac:dyDescent="0.3">
      <c r="B22" s="118" t="s">
        <v>37</v>
      </c>
      <c r="C22" s="363">
        <f>SUM(C23:C24)</f>
        <v>0.12435</v>
      </c>
    </row>
    <row r="23" spans="2:4" x14ac:dyDescent="0.3">
      <c r="B23" s="119" t="s">
        <v>38</v>
      </c>
      <c r="C23" s="364">
        <v>3.0505000000000001E-2</v>
      </c>
    </row>
    <row r="24" spans="2:4" x14ac:dyDescent="0.3">
      <c r="B24" s="119" t="s">
        <v>39</v>
      </c>
      <c r="C24" s="364">
        <v>9.3844999999999998E-2</v>
      </c>
    </row>
    <row r="25" spans="2:4" x14ac:dyDescent="0.3">
      <c r="B25" s="118" t="s">
        <v>40</v>
      </c>
      <c r="C25" s="363">
        <f>SUM(C26:C30)</f>
        <v>0</v>
      </c>
    </row>
    <row r="26" spans="2:4" x14ac:dyDescent="0.3">
      <c r="B26" s="119" t="s">
        <v>41</v>
      </c>
      <c r="C26" s="365"/>
    </row>
    <row r="27" spans="2:4" x14ac:dyDescent="0.3">
      <c r="B27" s="119" t="s">
        <v>42</v>
      </c>
      <c r="C27" s="365"/>
    </row>
    <row r="28" spans="2:4" x14ac:dyDescent="0.3">
      <c r="B28" s="119" t="s">
        <v>43</v>
      </c>
      <c r="C28" s="365"/>
    </row>
    <row r="29" spans="2:4" x14ac:dyDescent="0.3">
      <c r="B29" s="119" t="s">
        <v>44</v>
      </c>
      <c r="C29" s="365"/>
    </row>
    <row r="30" spans="2:4" x14ac:dyDescent="0.3">
      <c r="B30" s="119" t="s">
        <v>45</v>
      </c>
      <c r="C30" s="365"/>
      <c r="D30" s="24"/>
    </row>
    <row r="31" spans="2:4" x14ac:dyDescent="0.3">
      <c r="B31" s="118" t="s">
        <v>46</v>
      </c>
      <c r="C31" s="363">
        <f>SUM(C32:C36)</f>
        <v>0</v>
      </c>
      <c r="D31" s="24"/>
    </row>
    <row r="32" spans="2:4" x14ac:dyDescent="0.3">
      <c r="B32" s="137" t="s">
        <v>47</v>
      </c>
      <c r="C32" s="365"/>
      <c r="D32" s="24"/>
    </row>
    <row r="33" spans="2:4" x14ac:dyDescent="0.3">
      <c r="B33" s="119" t="s">
        <v>48</v>
      </c>
      <c r="C33" s="365"/>
      <c r="D33" s="24"/>
    </row>
    <row r="34" spans="2:4" x14ac:dyDescent="0.3">
      <c r="B34" s="119" t="s">
        <v>49</v>
      </c>
      <c r="C34" s="365"/>
    </row>
    <row r="35" spans="2:4" x14ac:dyDescent="0.3">
      <c r="B35" s="119" t="s">
        <v>50</v>
      </c>
      <c r="C35" s="365"/>
    </row>
    <row r="36" spans="2:4" x14ac:dyDescent="0.3">
      <c r="B36" s="119" t="s">
        <v>51</v>
      </c>
      <c r="C36" s="365"/>
    </row>
    <row r="37" spans="2:4" x14ac:dyDescent="0.3">
      <c r="B37" s="118" t="s">
        <v>144</v>
      </c>
      <c r="C37" s="363">
        <f>SUM(C38:C39)</f>
        <v>7.2962708000000015E-2</v>
      </c>
    </row>
    <row r="38" spans="2:4" x14ac:dyDescent="0.3">
      <c r="B38" s="119" t="s">
        <v>52</v>
      </c>
      <c r="C38" s="364">
        <f>C6*C15</f>
        <v>3.0932408000000008E-2</v>
      </c>
    </row>
    <row r="39" spans="2:4" ht="15.65" thickBot="1" x14ac:dyDescent="0.35">
      <c r="B39" s="122" t="s">
        <v>53</v>
      </c>
      <c r="C39" s="366">
        <f>C6*C22</f>
        <v>4.2030300000000013E-2</v>
      </c>
    </row>
    <row r="40" spans="2:4" ht="16.3" thickTop="1" thickBot="1" x14ac:dyDescent="0.35">
      <c r="B40" s="121" t="s">
        <v>122</v>
      </c>
      <c r="C40" s="138">
        <f>SUM(C37,C31,C25,C22,C15,C6)</f>
        <v>0.62682870800000012</v>
      </c>
    </row>
  </sheetData>
  <sheetProtection sheet="1" selectLockedCells="1"/>
  <mergeCells count="3">
    <mergeCell ref="B5:C5"/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R150"/>
  <sheetViews>
    <sheetView workbookViewId="0">
      <selection activeCell="C59" sqref="C59"/>
    </sheetView>
  </sheetViews>
  <sheetFormatPr defaultColWidth="9.109375" defaultRowHeight="13.15" x14ac:dyDescent="0.3"/>
  <cols>
    <col min="1" max="1" width="2.88671875" style="182" customWidth="1"/>
    <col min="2" max="2" width="23.109375" style="182" bestFit="1" customWidth="1"/>
    <col min="3" max="3" width="62.88671875" style="167" bestFit="1" customWidth="1"/>
    <col min="4" max="4" width="7.44140625" style="182" bestFit="1" customWidth="1"/>
    <col min="5" max="5" width="12.33203125" style="182" bestFit="1" customWidth="1"/>
    <col min="6" max="8" width="13.88671875" style="182" bestFit="1" customWidth="1"/>
    <col min="9" max="9" width="13.33203125" style="182" bestFit="1" customWidth="1"/>
    <col min="10" max="12" width="11.109375" style="182" customWidth="1"/>
    <col min="13" max="13" width="14.5546875" style="182" bestFit="1" customWidth="1"/>
    <col min="14" max="14" width="11.109375" style="182" customWidth="1"/>
    <col min="15" max="15" width="12.33203125" style="182" bestFit="1" customWidth="1"/>
    <col min="16" max="16" width="23.109375" style="182" bestFit="1" customWidth="1"/>
    <col min="17" max="17" width="10.44140625" style="182" customWidth="1"/>
    <col min="18" max="18" width="11.33203125" style="182" bestFit="1" customWidth="1"/>
    <col min="19" max="16384" width="9.109375" style="182"/>
  </cols>
  <sheetData>
    <row r="1" spans="2:18" ht="13.8" thickBot="1" x14ac:dyDescent="0.35"/>
    <row r="2" spans="2:18" ht="15.05" customHeight="1" thickBot="1" x14ac:dyDescent="0.35">
      <c r="B2" s="415" t="s">
        <v>154</v>
      </c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7"/>
    </row>
    <row r="3" spans="2:18" ht="15.85" customHeight="1" thickBot="1" x14ac:dyDescent="0.35">
      <c r="B3" s="427" t="s">
        <v>156</v>
      </c>
      <c r="C3" s="425" t="s">
        <v>4</v>
      </c>
      <c r="D3" s="425" t="s">
        <v>64</v>
      </c>
      <c r="E3" s="425" t="s">
        <v>79</v>
      </c>
      <c r="F3" s="425" t="s">
        <v>106</v>
      </c>
      <c r="G3" s="425" t="s">
        <v>107</v>
      </c>
      <c r="H3" s="432" t="s">
        <v>108</v>
      </c>
      <c r="I3" s="429" t="s">
        <v>84</v>
      </c>
      <c r="J3" s="430"/>
      <c r="K3" s="430"/>
      <c r="L3" s="430"/>
      <c r="M3" s="430"/>
      <c r="N3" s="431"/>
    </row>
    <row r="4" spans="2:18" s="215" customFormat="1" ht="30.05" customHeight="1" thickBot="1" x14ac:dyDescent="0.3">
      <c r="B4" s="428"/>
      <c r="C4" s="426"/>
      <c r="D4" s="426"/>
      <c r="E4" s="426"/>
      <c r="F4" s="426"/>
      <c r="G4" s="426"/>
      <c r="H4" s="433"/>
      <c r="I4" s="212" t="s">
        <v>57</v>
      </c>
      <c r="J4" s="213" t="s">
        <v>8</v>
      </c>
      <c r="K4" s="213" t="s">
        <v>82</v>
      </c>
      <c r="L4" s="213" t="s">
        <v>58</v>
      </c>
      <c r="M4" s="213" t="s">
        <v>83</v>
      </c>
      <c r="N4" s="214" t="s">
        <v>14</v>
      </c>
      <c r="R4" s="181"/>
    </row>
    <row r="5" spans="2:18" s="215" customFormat="1" ht="12.7" customHeight="1" x14ac:dyDescent="0.25">
      <c r="B5" s="223" t="s">
        <v>155</v>
      </c>
      <c r="C5" s="224" t="s">
        <v>85</v>
      </c>
      <c r="D5" s="225" t="s">
        <v>80</v>
      </c>
      <c r="E5" s="226">
        <f>VLOOKUP(B5,Postos!$B$4:$E$24,MATCH('Orçam. analítico'!C5,Postos!$B$3:$E$3,0),0)</f>
        <v>45</v>
      </c>
      <c r="F5" s="227" t="e">
        <f>I5+J5+K5+L5+M5+N5</f>
        <v>#VALUE!</v>
      </c>
      <c r="G5" s="227" t="e">
        <f t="shared" ref="G5" si="0">ROUND(E5*F5,2)</f>
        <v>#VALUE!</v>
      </c>
      <c r="H5" s="227" t="e">
        <f>G5*'Dados de custos'!$C$7</f>
        <v>#VALUE!</v>
      </c>
      <c r="I5" s="229">
        <f>INDEX('Dados de custos'!$C$11:$G$11,MATCH('Orçam. analítico'!C5,'Dados de custos'!$C$10:$G$10,0))</f>
        <v>0</v>
      </c>
      <c r="J5" s="227">
        <f>ROUND(VLOOKUP($B5,'Dados da empresa'!$B$26:$C$47,MATCH($J$4,'Dados da empresa'!$B$26:$C$26,0),FALSE)*'Dados de custos'!$C$6*2,2)+ROUND(-'Dados de custos'!$C$12*0.06,2)+IF(AND('Dados da empresa'!$C$14="Lucro real - Incidência cumulativa de PIS e COFINS",'Dados da empresa'!$C$15="Sim"),-ROUND((ROUND(VLOOKUP($B5,'Dados da empresa'!$B$26:$C$47,MATCH($J$4,'Dados da empresa'!$B$26:$C$26,0),FALSE)* 'Dados de custos'!$C$6*2,2)+ROUND(-'Dados de custos'!$C$12*0.06,2))*0.0925,2),0)</f>
        <v>236.77</v>
      </c>
      <c r="K5" s="227">
        <f>'Dados de custos'!$C$20+'Dados de custos'!$C$26+'Dados de custos'!$C$29+'Dados de custos'!$C$32+'Dados de custos'!$C$35+'Dados de custos'!$C$36</f>
        <v>0</v>
      </c>
      <c r="L5" s="227">
        <f>'Dados de custos'!$C$38</f>
        <v>0</v>
      </c>
      <c r="M5" s="227">
        <f>'Dados de custos'!$C$44</f>
        <v>0</v>
      </c>
      <c r="N5" s="228" t="e">
        <f>ROUND(VLOOKUP($B5,'Dados da empresa'!$B$26:$E$47,MATCH($N$4,'Dados da empresa'!$B$26:$E$26,0),FALSE)*(M5+L5+K5+J5+I5),2)</f>
        <v>#VALUE!</v>
      </c>
      <c r="R5" s="181"/>
    </row>
    <row r="6" spans="2:18" s="215" customFormat="1" ht="12.7" customHeight="1" x14ac:dyDescent="0.25">
      <c r="B6" s="230" t="s">
        <v>155</v>
      </c>
      <c r="C6" s="231" t="s">
        <v>164</v>
      </c>
      <c r="D6" s="207" t="s">
        <v>80</v>
      </c>
      <c r="E6" s="242">
        <f>VLOOKUP(B6,Postos!$B$4:$E$24,MATCH('Orçam. analítico'!C6,Postos!$B$3:$E$3,0),0)</f>
        <v>3</v>
      </c>
      <c r="F6" s="233" t="e">
        <f>I6+J6+K6+L6+M6+N6</f>
        <v>#VALUE!</v>
      </c>
      <c r="G6" s="233" t="e">
        <f t="shared" ref="G6" si="1">ROUND(E6*F6,2)</f>
        <v>#VALUE!</v>
      </c>
      <c r="H6" s="233" t="e">
        <f>G6*'Dados de custos'!$C$7</f>
        <v>#VALUE!</v>
      </c>
      <c r="I6" s="235">
        <f>INDEX('Dados de custos'!$C$11:$G$11,MATCH('Orçam. analítico'!C6,'Dados de custos'!$C$10:$G$10,0))</f>
        <v>0</v>
      </c>
      <c r="J6" s="233">
        <f>ROUND(VLOOKUP($B6,'Dados da empresa'!$B$26:$C$47,MATCH($J$4,'Dados da empresa'!$B$26:$C$26,0),FALSE)*'Dados de custos'!$C$6*2,2)+ROUND(-'Dados de custos'!$E$12*0.06,2)+IF(AND('Dados da empresa'!$C$14="Lucro real - Incidência cumulativa de PIS e COFINS",'Dados da empresa'!$C$15="Sim"),-ROUND((ROUND(VLOOKUP($B6,'Dados da empresa'!$B$26:$C$47,MATCH($J$4,'Dados da empresa'!$B$26:$C$26,0),FALSE)* 'Dados de custos'!$C$6*2,2)+ROUND(-'Dados de custos'!$E$12*0.06,2))*0.0925,2),0)</f>
        <v>236.77</v>
      </c>
      <c r="K6" s="233">
        <f>'Dados de custos'!$D$20+'Dados de custos'!$D$26+'Dados de custos'!$D$29+'Dados de custos'!$D$32+'Dados de custos'!$D$35+'Dados de custos'!$D$36</f>
        <v>0</v>
      </c>
      <c r="L6" s="233">
        <f>'Dados de custos'!$E$38</f>
        <v>0</v>
      </c>
      <c r="M6" s="233">
        <f>'Dados de custos'!$E$44</f>
        <v>0</v>
      </c>
      <c r="N6" s="234" t="e">
        <f>ROUND(VLOOKUP($B6,'Dados da empresa'!$B$26:$E$47,MATCH($N$4,'Dados da empresa'!$B$26:$E$26,0),FALSE)*(M6+L6+K6+J6+I6),2)</f>
        <v>#VALUE!</v>
      </c>
      <c r="R6" s="181"/>
    </row>
    <row r="7" spans="2:18" s="215" customFormat="1" ht="12.7" customHeight="1" x14ac:dyDescent="0.25">
      <c r="B7" s="223" t="s">
        <v>155</v>
      </c>
      <c r="C7" s="224" t="s">
        <v>160</v>
      </c>
      <c r="D7" s="225" t="s">
        <v>81</v>
      </c>
      <c r="E7" s="244">
        <f>VLOOKUP(B7,'Elem. de fachada + Jard.'!$B$4:$K$24,MATCH('Orçam. analítico'!C7,'Elem. de fachada + Jard.'!$B$3:$K$3,0),0)</f>
        <v>441.29</v>
      </c>
      <c r="F7" s="227" t="e">
        <f>VLOOKUP(C7,'Dados de custos'!$B$56:$E$64,4,0)*(1+VLOOKUP(B7,'Dados da empresa'!$B$27:$E$47,MATCH("BDI",'Dados da empresa'!$B$26:$E$26,0)))</f>
        <v>#VALUE!</v>
      </c>
      <c r="G7" s="227" t="e">
        <f>ROUND(E7*F7,2)</f>
        <v>#VALUE!</v>
      </c>
      <c r="H7" s="227" t="e">
        <f>G7*'Dados de custos'!$C$7</f>
        <v>#VALUE!</v>
      </c>
      <c r="I7" s="229" t="s">
        <v>1</v>
      </c>
      <c r="J7" s="227" t="s">
        <v>1</v>
      </c>
      <c r="K7" s="227" t="s">
        <v>1</v>
      </c>
      <c r="L7" s="227" t="s">
        <v>1</v>
      </c>
      <c r="M7" s="227" t="s">
        <v>1</v>
      </c>
      <c r="N7" s="228" t="s">
        <v>1</v>
      </c>
      <c r="R7" s="181"/>
    </row>
    <row r="8" spans="2:18" s="215" customFormat="1" ht="12.7" customHeight="1" x14ac:dyDescent="0.25">
      <c r="B8" s="230" t="s">
        <v>155</v>
      </c>
      <c r="C8" s="231" t="s">
        <v>161</v>
      </c>
      <c r="D8" s="207" t="s">
        <v>81</v>
      </c>
      <c r="E8" s="232">
        <f>VLOOKUP(B8,'Elem. de fachada + Jard.'!$B$4:$K$24,MATCH('Orçam. analítico'!C8,'Elem. de fachada + Jard.'!$B$3:$K$3,0),0)</f>
        <v>6975.53</v>
      </c>
      <c r="F8" s="233" t="e">
        <f>VLOOKUP(C8,'Dados de custos'!$B$56:$E$64,4,0)*(1+VLOOKUP(B8,'Dados da empresa'!$B$27:$E$47,MATCH("BDI",'Dados da empresa'!$B$26:$E$26,0)))</f>
        <v>#VALUE!</v>
      </c>
      <c r="G8" s="233" t="e">
        <f t="shared" ref="G8:G9" si="2">ROUND(E8*F8,2)</f>
        <v>#VALUE!</v>
      </c>
      <c r="H8" s="233" t="e">
        <f>G8*'Dados de custos'!$C$7</f>
        <v>#VALUE!</v>
      </c>
      <c r="I8" s="235" t="s">
        <v>1</v>
      </c>
      <c r="J8" s="233" t="s">
        <v>1</v>
      </c>
      <c r="K8" s="233" t="s">
        <v>1</v>
      </c>
      <c r="L8" s="233" t="s">
        <v>1</v>
      </c>
      <c r="M8" s="233" t="s">
        <v>1</v>
      </c>
      <c r="N8" s="234" t="s">
        <v>1</v>
      </c>
      <c r="R8" s="181"/>
    </row>
    <row r="9" spans="2:18" s="215" customFormat="1" ht="12.7" customHeight="1" thickBot="1" x14ac:dyDescent="0.3">
      <c r="B9" s="277" t="s">
        <v>155</v>
      </c>
      <c r="C9" s="278" t="s">
        <v>6</v>
      </c>
      <c r="D9" s="279" t="s">
        <v>81</v>
      </c>
      <c r="E9" s="280">
        <f>VLOOKUP(B9,'Elem. de fachada + Jard.'!$B$4:$K$24,MATCH('Orçam. analítico'!C9,'Elem. de fachada + Jard.'!$B$3:$K$3,0),0)</f>
        <v>520.92999999999995</v>
      </c>
      <c r="F9" s="281" t="e">
        <f>VLOOKUP(C9,'Dados de custos'!$B$56:$E$64,4,0)*(1+VLOOKUP(B9,'Dados da empresa'!$B$27:$E$47,MATCH("BDI",'Dados da empresa'!$B$26:$E$26,0)))</f>
        <v>#VALUE!</v>
      </c>
      <c r="G9" s="281" t="e">
        <f t="shared" si="2"/>
        <v>#VALUE!</v>
      </c>
      <c r="H9" s="281" t="e">
        <f>G9*'Dados de custos'!$C$7</f>
        <v>#VALUE!</v>
      </c>
      <c r="I9" s="283" t="s">
        <v>1</v>
      </c>
      <c r="J9" s="281" t="s">
        <v>1</v>
      </c>
      <c r="K9" s="281" t="s">
        <v>1</v>
      </c>
      <c r="L9" s="281" t="s">
        <v>1</v>
      </c>
      <c r="M9" s="281" t="s">
        <v>1</v>
      </c>
      <c r="N9" s="282" t="s">
        <v>1</v>
      </c>
      <c r="R9" s="181"/>
    </row>
    <row r="10" spans="2:18" x14ac:dyDescent="0.25">
      <c r="B10" s="216" t="s">
        <v>86</v>
      </c>
      <c r="C10" s="217" t="s">
        <v>85</v>
      </c>
      <c r="D10" s="218" t="s">
        <v>80</v>
      </c>
      <c r="E10" s="219">
        <f>VLOOKUP(B10,Postos!$B$4:$E$24,MATCH('Orçam. analítico'!C10,Postos!$B$3:$E$3,0),0)</f>
        <v>1</v>
      </c>
      <c r="F10" s="220" t="e">
        <f>I10+J10+K10+L10+M10+N10</f>
        <v>#VALUE!</v>
      </c>
      <c r="G10" s="220" t="e">
        <f t="shared" ref="G10:G11" si="3">ROUND(E10*F10,2)</f>
        <v>#VALUE!</v>
      </c>
      <c r="H10" s="220" t="e">
        <f>G10*'Dados de custos'!$C$7</f>
        <v>#VALUE!</v>
      </c>
      <c r="I10" s="222">
        <f>INDEX('Dados de custos'!$C$11:$G$11,MATCH('Orçam. analítico'!C10,'Dados de custos'!$C$10:$G$10,0))</f>
        <v>0</v>
      </c>
      <c r="J10" s="220">
        <f>ROUND(VLOOKUP($B10,'Dados da empresa'!$B$26:$C$47,MATCH($J$4,'Dados da empresa'!$B$26:$C$26,0),FALSE)*'Dados de custos'!$C$6*2,2)+ROUND(-'Dados de custos'!$C$12*0.06,2)+IF(AND('Dados da empresa'!$C$14="Lucro real - Incidência cumulativa de PIS e COFINS",'Dados da empresa'!$C$15="Sim"),-ROUND((ROUND(VLOOKUP($B10,'Dados da empresa'!$B$26:$C$47,MATCH($J$4,'Dados da empresa'!$B$26:$C$26,0),FALSE)* 'Dados de custos'!$C$6*2,2)+ROUND(-'Dados de custos'!$C$12*0.06,2))*0.0925,2),0)</f>
        <v>182.84</v>
      </c>
      <c r="K10" s="220">
        <f>'Dados de custos'!$C$20+'Dados de custos'!$C$26+'Dados de custos'!$C$29+'Dados de custos'!$C$32+'Dados de custos'!$C$35+'Dados de custos'!$C$36</f>
        <v>0</v>
      </c>
      <c r="L10" s="220">
        <f>'Dados de custos'!$C$38</f>
        <v>0</v>
      </c>
      <c r="M10" s="220">
        <f>'Dados de custos'!$C$44</f>
        <v>0</v>
      </c>
      <c r="N10" s="221" t="e">
        <f>ROUND(VLOOKUP($B10,'Dados da empresa'!$B$26:$E$47,MATCH($N$4,'Dados da empresa'!$B$26:$E$26,0),FALSE)*(M10+L10+K10+J10+I10),2)</f>
        <v>#VALUE!</v>
      </c>
      <c r="R10" s="181"/>
    </row>
    <row r="11" spans="2:18" x14ac:dyDescent="0.25">
      <c r="B11" s="276" t="s">
        <v>86</v>
      </c>
      <c r="C11" s="224" t="s">
        <v>77</v>
      </c>
      <c r="D11" s="225" t="s">
        <v>80</v>
      </c>
      <c r="E11" s="226">
        <f>VLOOKUP(B11,Postos!$B$4:$E$24,MATCH('Orçam. analítico'!C11,Postos!$B$3:$E$3,0),0)</f>
        <v>1</v>
      </c>
      <c r="F11" s="227" t="e">
        <f>I11+J11+K11+L11+M11+N11</f>
        <v>#VALUE!</v>
      </c>
      <c r="G11" s="227" t="e">
        <f t="shared" si="3"/>
        <v>#VALUE!</v>
      </c>
      <c r="H11" s="227" t="e">
        <f>G11*'Dados de custos'!$C$7</f>
        <v>#VALUE!</v>
      </c>
      <c r="I11" s="229">
        <f>INDEX('Dados de custos'!$C$11:$G$11,MATCH('Orçam. analítico'!C11,'Dados de custos'!$C$10:$G$10,0))</f>
        <v>0</v>
      </c>
      <c r="J11" s="227">
        <f>ROUND(VLOOKUP($B11,'Dados da empresa'!$B$26:$C$47,MATCH($J$4,'Dados da empresa'!$B$26:$C$26,0),FALSE)*'Dados de custos'!$C$6*2,2)+ROUND(-'Dados de custos'!$D$12*0.06,2)+IF(AND('Dados da empresa'!$C$14="Lucro real - Incidência cumulativa de PIS e COFINS",'Dados da empresa'!$C$15="Sim"),-ROUND((ROUND(VLOOKUP($B11,'Dados da empresa'!$B$26:$C$47,MATCH($J$4,'Dados da empresa'!$B$26:$C$26,0),FALSE)* 'Dados de custos'!$C$6*2,2)+ROUND(-'Dados de custos'!$D$12*0.06,2))*0.0925,2),0)</f>
        <v>182.84</v>
      </c>
      <c r="K11" s="227">
        <f>'Dados de custos'!$D$20+'Dados de custos'!$D$26+'Dados de custos'!$D$29+'Dados de custos'!$D$32+'Dados de custos'!$D$35+'Dados de custos'!$D$36</f>
        <v>0</v>
      </c>
      <c r="L11" s="227">
        <f>'Dados de custos'!$D$38</f>
        <v>0</v>
      </c>
      <c r="M11" s="227">
        <f>'Dados de custos'!$D$44</f>
        <v>0</v>
      </c>
      <c r="N11" s="228" t="e">
        <f>ROUND(VLOOKUP($B11,'Dados da empresa'!$B$26:$E$47,MATCH($N$4,'Dados da empresa'!$B$26:$E$26,0),FALSE)*(M11+L11+K11+J11+I11),2)</f>
        <v>#VALUE!</v>
      </c>
      <c r="R11" s="181"/>
    </row>
    <row r="12" spans="2:18" x14ac:dyDescent="0.25">
      <c r="B12" s="230" t="s">
        <v>86</v>
      </c>
      <c r="C12" s="231" t="s">
        <v>158</v>
      </c>
      <c r="D12" s="207" t="s">
        <v>81</v>
      </c>
      <c r="E12" s="232">
        <f>VLOOKUP(B12,'Elem. de fachada + Jard.'!$B$4:$K$24,MATCH('Orçam. analítico'!C12,'Elem. de fachada + Jard.'!$B$3:$K$3,0),0)</f>
        <v>57.1</v>
      </c>
      <c r="F12" s="233" t="e">
        <f>VLOOKUP(C12,'Dados de custos'!$B$56:$E$64,4,0)*(1+VLOOKUP(B12,'Dados da empresa'!$B$27:$E$47,MATCH("BDI",'Dados da empresa'!$B$26:$E$26,0)))</f>
        <v>#VALUE!</v>
      </c>
      <c r="G12" s="233" t="e">
        <f>ROUND(E12*F12,2)</f>
        <v>#VALUE!</v>
      </c>
      <c r="H12" s="233" t="e">
        <f>G12*'Dados de custos'!$C$7</f>
        <v>#VALUE!</v>
      </c>
      <c r="I12" s="235" t="s">
        <v>1</v>
      </c>
      <c r="J12" s="233" t="s">
        <v>1</v>
      </c>
      <c r="K12" s="233" t="s">
        <v>1</v>
      </c>
      <c r="L12" s="233" t="s">
        <v>1</v>
      </c>
      <c r="M12" s="233" t="s">
        <v>1</v>
      </c>
      <c r="N12" s="234" t="s">
        <v>1</v>
      </c>
      <c r="R12" s="181"/>
    </row>
    <row r="13" spans="2:18" x14ac:dyDescent="0.25">
      <c r="B13" s="223" t="s">
        <v>86</v>
      </c>
      <c r="C13" s="224" t="s">
        <v>159</v>
      </c>
      <c r="D13" s="225" t="s">
        <v>81</v>
      </c>
      <c r="E13" s="226">
        <f>VLOOKUP(B13,'Elem. de fachada + Jard.'!$B$4:$K$24,MATCH('Orçam. analítico'!C13,'Elem. de fachada + Jard.'!$B$3:$K$3,0),0)</f>
        <v>89.77</v>
      </c>
      <c r="F13" s="227" t="e">
        <f>VLOOKUP(C13,'Dados de custos'!$B$56:$E$64,4,0)*(1+VLOOKUP(B13,'Dados da empresa'!$B$27:$E$47,MATCH("BDI",'Dados da empresa'!$B$26:$E$26,0)))</f>
        <v>#VALUE!</v>
      </c>
      <c r="G13" s="227" t="e">
        <f t="shared" ref="G13:G76" si="4">ROUND(E13*F13,2)</f>
        <v>#VALUE!</v>
      </c>
      <c r="H13" s="227" t="e">
        <f>G13*'Dados de custos'!$C$7</f>
        <v>#VALUE!</v>
      </c>
      <c r="I13" s="229" t="s">
        <v>1</v>
      </c>
      <c r="J13" s="227" t="s">
        <v>1</v>
      </c>
      <c r="K13" s="227" t="s">
        <v>1</v>
      </c>
      <c r="L13" s="227" t="s">
        <v>1</v>
      </c>
      <c r="M13" s="227" t="s">
        <v>1</v>
      </c>
      <c r="N13" s="228" t="s">
        <v>1</v>
      </c>
      <c r="R13" s="191"/>
    </row>
    <row r="14" spans="2:18" ht="13.8" thickBot="1" x14ac:dyDescent="0.3">
      <c r="B14" s="236" t="s">
        <v>86</v>
      </c>
      <c r="C14" s="237" t="s">
        <v>6</v>
      </c>
      <c r="D14" s="208" t="s">
        <v>81</v>
      </c>
      <c r="E14" s="238">
        <f>VLOOKUP(B14,'Elem. de fachada + Jard.'!$B$4:$K$24,MATCH('Orçam. analítico'!C14,'Elem. de fachada + Jard.'!$B$3:$K$3,0),0)</f>
        <v>231.71</v>
      </c>
      <c r="F14" s="239" t="e">
        <f>VLOOKUP(C14,'Dados de custos'!$B$56:$E$64,4,0)*(1+VLOOKUP(B14,'Dados da empresa'!$B$27:$E$47,MATCH("BDI",'Dados da empresa'!$B$26:$E$26,0)))</f>
        <v>#VALUE!</v>
      </c>
      <c r="G14" s="239" t="e">
        <f t="shared" si="4"/>
        <v>#VALUE!</v>
      </c>
      <c r="H14" s="239" t="e">
        <f>G14*'Dados de custos'!$C$7</f>
        <v>#VALUE!</v>
      </c>
      <c r="I14" s="241" t="s">
        <v>1</v>
      </c>
      <c r="J14" s="239" t="s">
        <v>1</v>
      </c>
      <c r="K14" s="239" t="s">
        <v>1</v>
      </c>
      <c r="L14" s="239" t="s">
        <v>1</v>
      </c>
      <c r="M14" s="239" t="s">
        <v>1</v>
      </c>
      <c r="N14" s="240" t="s">
        <v>1</v>
      </c>
      <c r="R14" s="181"/>
    </row>
    <row r="15" spans="2:18" x14ac:dyDescent="0.25">
      <c r="B15" s="223" t="s">
        <v>87</v>
      </c>
      <c r="C15" s="224" t="s">
        <v>85</v>
      </c>
      <c r="D15" s="225" t="s">
        <v>80</v>
      </c>
      <c r="E15" s="226">
        <f>VLOOKUP(B15,Postos!$B$4:$E$24,MATCH('Orçam. analítico'!C15,Postos!$B$3:$E$3,0),0)</f>
        <v>1</v>
      </c>
      <c r="F15" s="227" t="e">
        <f>I15+J15+K15+L15+M15+N15</f>
        <v>#VALUE!</v>
      </c>
      <c r="G15" s="227" t="e">
        <f t="shared" si="4"/>
        <v>#VALUE!</v>
      </c>
      <c r="H15" s="227" t="e">
        <f>G15*'Dados de custos'!$C$7</f>
        <v>#VALUE!</v>
      </c>
      <c r="I15" s="273">
        <f>INDEX('Dados de custos'!$C$11:$G$11,MATCH('Orçam. analítico'!C15,'Dados de custos'!$C$10:$G$10,0))</f>
        <v>0</v>
      </c>
      <c r="J15" s="274">
        <f>ROUND(VLOOKUP($B15,'Dados da empresa'!$B$26:$C$47,MATCH($J$4,'Dados da empresa'!$B$26:$C$26,0),FALSE)*'Dados de custos'!$C$6*2,2)+ROUND(-'Dados de custos'!$C$12*0.06,2)+IF(AND('Dados da empresa'!$C$14="Lucro real - Incidência cumulativa de PIS e COFINS",'Dados da empresa'!$C$15="Sim"),-ROUND((ROUND(VLOOKUP($B15,'Dados da empresa'!$B$26:$C$47,MATCH($J$4,'Dados da empresa'!$B$26:$C$26,0),FALSE)* 'Dados de custos'!$C$6*2,2)+ROUND(-'Dados de custos'!$C$12*0.06,2))*0.0925,2),0)</f>
        <v>237.75</v>
      </c>
      <c r="K15" s="274">
        <f>'Dados de custos'!$C$20+'Dados de custos'!$C$26+'Dados de custos'!$C$29+'Dados de custos'!$C$32+'Dados de custos'!$C$35+'Dados de custos'!$C$36</f>
        <v>0</v>
      </c>
      <c r="L15" s="274">
        <f>'Dados de custos'!$C$38</f>
        <v>0</v>
      </c>
      <c r="M15" s="274">
        <f>'Dados de custos'!$C$44</f>
        <v>0</v>
      </c>
      <c r="N15" s="275" t="e">
        <f>ROUND(VLOOKUP($B15,'Dados da empresa'!$B$26:$E$47,MATCH($N$4,'Dados da empresa'!$B$26:$E$26,0),FALSE)*(M15+L15+K15+J15+I15),2)</f>
        <v>#VALUE!</v>
      </c>
      <c r="R15" s="181"/>
    </row>
    <row r="16" spans="2:18" x14ac:dyDescent="0.25">
      <c r="B16" s="230" t="s">
        <v>87</v>
      </c>
      <c r="C16" s="231" t="s">
        <v>77</v>
      </c>
      <c r="D16" s="207" t="s">
        <v>80</v>
      </c>
      <c r="E16" s="242">
        <f>VLOOKUP(B16,Postos!$B$4:$E$24,MATCH('Orçam. analítico'!C16,Postos!$B$3:$E$3,0),0)</f>
        <v>1</v>
      </c>
      <c r="F16" s="233" t="e">
        <f>I16+J16+K16+L16+M16+N16</f>
        <v>#VALUE!</v>
      </c>
      <c r="G16" s="233" t="e">
        <f t="shared" si="4"/>
        <v>#VALUE!</v>
      </c>
      <c r="H16" s="233" t="e">
        <f>G16*'Dados de custos'!$C$7</f>
        <v>#VALUE!</v>
      </c>
      <c r="I16" s="243">
        <f>INDEX('Dados de custos'!$C$11:$G$11,MATCH('Orçam. analítico'!C16,'Dados de custos'!$C$10:$G$10,0))</f>
        <v>0</v>
      </c>
      <c r="J16" s="233">
        <f>ROUND(VLOOKUP($B16,'Dados da empresa'!$B$26:$C$47,MATCH($J$4,'Dados da empresa'!$B$26:$C$26,0),FALSE)*'Dados de custos'!$C$6*2,2)+ROUND(-'Dados de custos'!$D$12*0.06,2)+IF(AND('Dados da empresa'!$C$14="Lucro real - Incidência cumulativa de PIS e COFINS",'Dados da empresa'!$C$15="Sim"),-ROUND((ROUND(VLOOKUP($B16,'Dados da empresa'!$B$26:$C$47,MATCH($J$4,'Dados da empresa'!$B$26:$C$26,0),FALSE)* 'Dados de custos'!$C$6*2,2)+ROUND(-'Dados de custos'!$D$12*0.06,2))*0.0925,2),0)</f>
        <v>237.75</v>
      </c>
      <c r="K16" s="233">
        <f>'Dados de custos'!$D$20+'Dados de custos'!$D$26+'Dados de custos'!$D$29+'Dados de custos'!$D$32+'Dados de custos'!$D$35+'Dados de custos'!$D$36</f>
        <v>0</v>
      </c>
      <c r="L16" s="233">
        <f>'Dados de custos'!$D$38</f>
        <v>0</v>
      </c>
      <c r="M16" s="233">
        <f>'Dados de custos'!$D$44</f>
        <v>0</v>
      </c>
      <c r="N16" s="234" t="e">
        <f>ROUND(VLOOKUP($B16,'Dados da empresa'!$B$26:$E$47,MATCH($N$4,'Dados da empresa'!$B$26:$E$26,0),FALSE)*(M16+L16+K16+J16+I16),2)</f>
        <v>#VALUE!</v>
      </c>
      <c r="R16" s="181"/>
    </row>
    <row r="17" spans="2:18" x14ac:dyDescent="0.25">
      <c r="B17" s="223" t="s">
        <v>87</v>
      </c>
      <c r="C17" s="224" t="s">
        <v>158</v>
      </c>
      <c r="D17" s="225" t="s">
        <v>81</v>
      </c>
      <c r="E17" s="244">
        <f>VLOOKUP(B17,'Elem. de fachada + Jard.'!$B$4:$K$24,MATCH('Orçam. analítico'!C17,'Elem. de fachada + Jard.'!$B$3:$K$3,0),0)</f>
        <v>43.97</v>
      </c>
      <c r="F17" s="227" t="e">
        <f>VLOOKUP(C17,'Dados de custos'!$B$56:$E$64,4,0)*(1+VLOOKUP(B17,'Dados da empresa'!$B$27:$E$47,MATCH("BDI",'Dados da empresa'!$B$26:$E$26,0)))</f>
        <v>#VALUE!</v>
      </c>
      <c r="G17" s="227" t="e">
        <f t="shared" si="4"/>
        <v>#VALUE!</v>
      </c>
      <c r="H17" s="227" t="e">
        <f>G17*'Dados de custos'!$C$7</f>
        <v>#VALUE!</v>
      </c>
      <c r="I17" s="229" t="s">
        <v>1</v>
      </c>
      <c r="J17" s="227" t="s">
        <v>1</v>
      </c>
      <c r="K17" s="227" t="s">
        <v>1</v>
      </c>
      <c r="L17" s="227" t="s">
        <v>1</v>
      </c>
      <c r="M17" s="227" t="s">
        <v>1</v>
      </c>
      <c r="N17" s="228" t="s">
        <v>1</v>
      </c>
      <c r="R17" s="181"/>
    </row>
    <row r="18" spans="2:18" x14ac:dyDescent="0.25">
      <c r="B18" s="230" t="s">
        <v>87</v>
      </c>
      <c r="C18" s="231" t="s">
        <v>159</v>
      </c>
      <c r="D18" s="207" t="s">
        <v>81</v>
      </c>
      <c r="E18" s="232">
        <f>VLOOKUP(B18,'Elem. de fachada + Jard.'!$B$4:$K$24,MATCH('Orçam. analítico'!C18,'Elem. de fachada + Jard.'!$B$3:$K$3,0),0)</f>
        <v>175.33</v>
      </c>
      <c r="F18" s="233" t="e">
        <f>VLOOKUP(C18,'Dados de custos'!$B$56:$E$64,4,0)*(1+VLOOKUP(B18,'Dados da empresa'!$B$27:$E$47,MATCH("BDI",'Dados da empresa'!$B$26:$E$26,0)))</f>
        <v>#VALUE!</v>
      </c>
      <c r="G18" s="233" t="e">
        <f t="shared" si="4"/>
        <v>#VALUE!</v>
      </c>
      <c r="H18" s="233" t="e">
        <f>G18*'Dados de custos'!$C$7</f>
        <v>#VALUE!</v>
      </c>
      <c r="I18" s="243" t="s">
        <v>1</v>
      </c>
      <c r="J18" s="233" t="s">
        <v>1</v>
      </c>
      <c r="K18" s="233" t="s">
        <v>1</v>
      </c>
      <c r="L18" s="233" t="s">
        <v>1</v>
      </c>
      <c r="M18" s="233" t="s">
        <v>1</v>
      </c>
      <c r="N18" s="234" t="s">
        <v>1</v>
      </c>
      <c r="R18" s="181"/>
    </row>
    <row r="19" spans="2:18" x14ac:dyDescent="0.25">
      <c r="B19" s="223" t="s">
        <v>87</v>
      </c>
      <c r="C19" s="224" t="s">
        <v>74</v>
      </c>
      <c r="D19" s="225" t="s">
        <v>81</v>
      </c>
      <c r="E19" s="244">
        <f>VLOOKUP(B19,'Elem. de fachada + Jard.'!$B$4:$K$24,MATCH('Orçam. analítico'!C19,'Elem. de fachada + Jard.'!$B$3:$K$3,0),0)</f>
        <v>164.22</v>
      </c>
      <c r="F19" s="227" t="e">
        <f>VLOOKUP(C19,'Dados de custos'!$B$56:$E$64,4,0)*(1+VLOOKUP(B19,'Dados da empresa'!$B$27:$E$47,MATCH("BDI",'Dados da empresa'!$B$26:$E$26,0)))</f>
        <v>#VALUE!</v>
      </c>
      <c r="G19" s="227" t="e">
        <f t="shared" si="4"/>
        <v>#VALUE!</v>
      </c>
      <c r="H19" s="227" t="e">
        <f>G19*'Dados de custos'!$C$7</f>
        <v>#VALUE!</v>
      </c>
      <c r="I19" s="229" t="s">
        <v>1</v>
      </c>
      <c r="J19" s="227" t="s">
        <v>1</v>
      </c>
      <c r="K19" s="227" t="s">
        <v>1</v>
      </c>
      <c r="L19" s="227" t="s">
        <v>1</v>
      </c>
      <c r="M19" s="227" t="s">
        <v>1</v>
      </c>
      <c r="N19" s="228" t="s">
        <v>1</v>
      </c>
      <c r="R19" s="181"/>
    </row>
    <row r="20" spans="2:18" ht="13.8" thickBot="1" x14ac:dyDescent="0.35">
      <c r="B20" s="236" t="s">
        <v>87</v>
      </c>
      <c r="C20" s="237" t="s">
        <v>6</v>
      </c>
      <c r="D20" s="208" t="s">
        <v>81</v>
      </c>
      <c r="E20" s="238">
        <f>VLOOKUP(B20,'Elem. de fachada + Jard.'!$B$4:$K$24,MATCH('Orçam. analítico'!C20,'Elem. de fachada + Jard.'!$B$3:$K$3,0),0)</f>
        <v>491.75</v>
      </c>
      <c r="F20" s="239" t="e">
        <f>VLOOKUP(C20,'Dados de custos'!$B$56:$E$64,4,0)*(1+VLOOKUP(B20,'Dados da empresa'!$B$27:$E$47,MATCH("BDI",'Dados da empresa'!$B$26:$E$26,0)))</f>
        <v>#VALUE!</v>
      </c>
      <c r="G20" s="239" t="e">
        <f t="shared" si="4"/>
        <v>#VALUE!</v>
      </c>
      <c r="H20" s="239" t="e">
        <f>G20*'Dados de custos'!$C$7</f>
        <v>#VALUE!</v>
      </c>
      <c r="I20" s="241" t="s">
        <v>1</v>
      </c>
      <c r="J20" s="239" t="s">
        <v>1</v>
      </c>
      <c r="K20" s="239" t="s">
        <v>1</v>
      </c>
      <c r="L20" s="239" t="s">
        <v>1</v>
      </c>
      <c r="M20" s="239" t="s">
        <v>1</v>
      </c>
      <c r="N20" s="240" t="s">
        <v>1</v>
      </c>
    </row>
    <row r="21" spans="2:18" x14ac:dyDescent="0.3">
      <c r="B21" s="245" t="s">
        <v>105</v>
      </c>
      <c r="C21" s="246" t="s">
        <v>85</v>
      </c>
      <c r="D21" s="247" t="s">
        <v>80</v>
      </c>
      <c r="E21" s="248">
        <f>VLOOKUP(B21,Postos!$B$4:$E$24,MATCH('Orçam. analítico'!C21,Postos!$B$3:$E$3,0),0)</f>
        <v>1</v>
      </c>
      <c r="F21" s="249" t="e">
        <f>I21+J21+K21+L21+M21+N21</f>
        <v>#VALUE!</v>
      </c>
      <c r="G21" s="249" t="e">
        <f t="shared" si="4"/>
        <v>#VALUE!</v>
      </c>
      <c r="H21" s="249" t="e">
        <f>G21*'Dados de custos'!$C$7</f>
        <v>#VALUE!</v>
      </c>
      <c r="I21" s="251">
        <f>INDEX('Dados de custos'!$C$11:$G$11,MATCH('Orçam. analítico'!C21,'Dados de custos'!$C$10:$G$10,0))</f>
        <v>0</v>
      </c>
      <c r="J21" s="249">
        <f>ROUND(VLOOKUP($B21,'Dados da empresa'!$B$26:$C$47,MATCH($J$4,'Dados da empresa'!$B$26:$C$26,0),FALSE)*'Dados de custos'!$C$6*2,2)+ROUND(-'Dados de custos'!$C$12*0.06,2)+IF(AND('Dados da empresa'!$C$14="Lucro real - Incidência cumulativa de PIS e COFINS",'Dados da empresa'!$C$15="Sim"),-ROUND((ROUND(VLOOKUP($B21,'Dados da empresa'!$B$26:$C$47,MATCH($J$4,'Dados da empresa'!$B$26:$C$26,0),FALSE)* 'Dados de custos'!$C$6*2,2)+ROUND(-'Dados de custos'!$C$12*0.06,2))*0.0925,2),0)</f>
        <v>274.51</v>
      </c>
      <c r="K21" s="249">
        <f>'Dados de custos'!$C$20+'Dados de custos'!$C$26+'Dados de custos'!$C$29+'Dados de custos'!$C$32+'Dados de custos'!$C$35+'Dados de custos'!$C$36</f>
        <v>0</v>
      </c>
      <c r="L21" s="249">
        <f>'Dados de custos'!$C$38</f>
        <v>0</v>
      </c>
      <c r="M21" s="249">
        <f>'Dados de custos'!$C$44</f>
        <v>0</v>
      </c>
      <c r="N21" s="250" t="e">
        <f>ROUND(VLOOKUP($B21,'Dados da empresa'!$B$26:$E$47,MATCH($N$4,'Dados da empresa'!$B$26:$E$26,0),FALSE)*(M21+L21+K21+J21+I21),2)</f>
        <v>#VALUE!</v>
      </c>
    </row>
    <row r="22" spans="2:18" x14ac:dyDescent="0.3">
      <c r="B22" s="230" t="s">
        <v>105</v>
      </c>
      <c r="C22" s="231" t="s">
        <v>77</v>
      </c>
      <c r="D22" s="207" t="s">
        <v>80</v>
      </c>
      <c r="E22" s="242">
        <f>VLOOKUP(B22,Postos!$B$4:$E$24,MATCH('Orçam. analítico'!C22,Postos!$B$3:$E$3,0),0)</f>
        <v>1</v>
      </c>
      <c r="F22" s="233" t="e">
        <f>I22+J22+K22+L22+M22+N22</f>
        <v>#VALUE!</v>
      </c>
      <c r="G22" s="233" t="e">
        <f t="shared" si="4"/>
        <v>#VALUE!</v>
      </c>
      <c r="H22" s="233" t="e">
        <f>G22*'Dados de custos'!$C$7</f>
        <v>#VALUE!</v>
      </c>
      <c r="I22" s="243">
        <f>INDEX('Dados de custos'!$C$11:$G$11,MATCH('Orçam. analítico'!C22,'Dados de custos'!$C$10:$G$10,0))</f>
        <v>0</v>
      </c>
      <c r="J22" s="233">
        <f>ROUND(VLOOKUP($B22,'Dados da empresa'!$B$26:$C$47,MATCH($J$4,'Dados da empresa'!$B$26:$C$26,0),FALSE)*'Dados de custos'!$C$6*2,2)+ROUND(-'Dados de custos'!$D$12*0.06,2)+IF(AND('Dados da empresa'!$C$14="Lucro real - Incidência cumulativa de PIS e COFINS",'Dados da empresa'!$C$15="Sim"),-ROUND((ROUND(VLOOKUP($B22,'Dados da empresa'!$B$26:$C$47,MATCH($J$4,'Dados da empresa'!$B$26:$C$26,0),FALSE)* 'Dados de custos'!$C$6*2,2)+ROUND(-'Dados de custos'!$D$12*0.06,2))*0.0925,2),0)</f>
        <v>274.51</v>
      </c>
      <c r="K22" s="233">
        <f>'Dados de custos'!$D$20+'Dados de custos'!$D$26+'Dados de custos'!$D$29+'Dados de custos'!$D$32+'Dados de custos'!$D$35+'Dados de custos'!$D$36</f>
        <v>0</v>
      </c>
      <c r="L22" s="233">
        <f>'Dados de custos'!$D$38</f>
        <v>0</v>
      </c>
      <c r="M22" s="233">
        <f>'Dados de custos'!$D$44</f>
        <v>0</v>
      </c>
      <c r="N22" s="234" t="e">
        <f>ROUND(VLOOKUP($B22,'Dados da empresa'!$B$26:$E$47,MATCH($N$4,'Dados da empresa'!$B$26:$E$26,0),FALSE)*(M22+L22+K22+J22+I22),2)</f>
        <v>#VALUE!</v>
      </c>
    </row>
    <row r="23" spans="2:18" x14ac:dyDescent="0.3">
      <c r="B23" s="223" t="s">
        <v>105</v>
      </c>
      <c r="C23" s="224" t="s">
        <v>158</v>
      </c>
      <c r="D23" s="225" t="s">
        <v>81</v>
      </c>
      <c r="E23" s="244">
        <f>VLOOKUP(B23,'Elem. de fachada + Jard.'!$B$4:$K$24,MATCH('Orçam. analítico'!C23,'Elem. de fachada + Jard.'!$B$3:$K$3,0),0)</f>
        <v>340.86</v>
      </c>
      <c r="F23" s="227" t="e">
        <f>VLOOKUP(C23,'Dados de custos'!$B$56:$E$64,4,0)*(1+VLOOKUP(B23,'Dados da empresa'!$B$27:$E$47,MATCH("BDI",'Dados da empresa'!$B$26:$E$26,0)))</f>
        <v>#VALUE!</v>
      </c>
      <c r="G23" s="227" t="e">
        <f t="shared" si="4"/>
        <v>#VALUE!</v>
      </c>
      <c r="H23" s="227" t="e">
        <f>G23*'Dados de custos'!$C$7</f>
        <v>#VALUE!</v>
      </c>
      <c r="I23" s="229" t="s">
        <v>1</v>
      </c>
      <c r="J23" s="227" t="s">
        <v>1</v>
      </c>
      <c r="K23" s="227" t="s">
        <v>1</v>
      </c>
      <c r="L23" s="227" t="s">
        <v>1</v>
      </c>
      <c r="M23" s="227" t="s">
        <v>1</v>
      </c>
      <c r="N23" s="228" t="s">
        <v>1</v>
      </c>
    </row>
    <row r="24" spans="2:18" x14ac:dyDescent="0.3">
      <c r="B24" s="230" t="s">
        <v>105</v>
      </c>
      <c r="C24" s="231" t="s">
        <v>159</v>
      </c>
      <c r="D24" s="207" t="s">
        <v>81</v>
      </c>
      <c r="E24" s="232">
        <f>VLOOKUP(B24,'Elem. de fachada + Jard.'!$B$4:$K$24,MATCH('Orçam. analítico'!C24,'Elem. de fachada + Jard.'!$B$3:$K$3,0),0)</f>
        <v>171.8</v>
      </c>
      <c r="F24" s="233" t="e">
        <f>VLOOKUP(C24,'Dados de custos'!$B$56:$E$64,4,0)*(1+VLOOKUP(B24,'Dados da empresa'!$B$27:$E$47,MATCH("BDI",'Dados da empresa'!$B$26:$E$26,0)))</f>
        <v>#VALUE!</v>
      </c>
      <c r="G24" s="233" t="e">
        <f t="shared" si="4"/>
        <v>#VALUE!</v>
      </c>
      <c r="H24" s="233" t="e">
        <f>G24*'Dados de custos'!$C$7</f>
        <v>#VALUE!</v>
      </c>
      <c r="I24" s="243" t="s">
        <v>1</v>
      </c>
      <c r="J24" s="233" t="s">
        <v>1</v>
      </c>
      <c r="K24" s="233" t="s">
        <v>1</v>
      </c>
      <c r="L24" s="233" t="s">
        <v>1</v>
      </c>
      <c r="M24" s="233" t="s">
        <v>1</v>
      </c>
      <c r="N24" s="234" t="s">
        <v>1</v>
      </c>
    </row>
    <row r="25" spans="2:18" ht="13.8" thickBot="1" x14ac:dyDescent="0.35">
      <c r="B25" s="252" t="s">
        <v>105</v>
      </c>
      <c r="C25" s="253" t="s">
        <v>6</v>
      </c>
      <c r="D25" s="254" t="s">
        <v>81</v>
      </c>
      <c r="E25" s="255">
        <f>VLOOKUP(B25,'Elem. de fachada + Jard.'!$B$4:$K$24,MATCH('Orçam. analítico'!C25,'Elem. de fachada + Jard.'!$B$3:$K$3,0),0)</f>
        <v>589.6</v>
      </c>
      <c r="F25" s="256" t="e">
        <f>VLOOKUP(C25,'Dados de custos'!$B$56:$E$64,4,0)*(1+VLOOKUP(B25,'Dados da empresa'!$B$27:$E$47,MATCH("BDI",'Dados da empresa'!$B$26:$E$26,0)))</f>
        <v>#VALUE!</v>
      </c>
      <c r="G25" s="256" t="e">
        <f t="shared" si="4"/>
        <v>#VALUE!</v>
      </c>
      <c r="H25" s="256" t="e">
        <f>G25*'Dados de custos'!$C$7</f>
        <v>#VALUE!</v>
      </c>
      <c r="I25" s="258" t="s">
        <v>1</v>
      </c>
      <c r="J25" s="256" t="s">
        <v>1</v>
      </c>
      <c r="K25" s="256" t="s">
        <v>1</v>
      </c>
      <c r="L25" s="256" t="s">
        <v>1</v>
      </c>
      <c r="M25" s="256" t="s">
        <v>1</v>
      </c>
      <c r="N25" s="257" t="s">
        <v>1</v>
      </c>
    </row>
    <row r="26" spans="2:18" x14ac:dyDescent="0.3">
      <c r="B26" s="216" t="s">
        <v>88</v>
      </c>
      <c r="C26" s="217" t="s">
        <v>85</v>
      </c>
      <c r="D26" s="218" t="s">
        <v>80</v>
      </c>
      <c r="E26" s="219">
        <f>VLOOKUP(B26,Postos!$B$4:$E$24,MATCH('Orçam. analítico'!C26,Postos!$B$3:$E$3,0),0)</f>
        <v>1</v>
      </c>
      <c r="F26" s="220" t="e">
        <f>I26+J26+K26+L26+M26+N26</f>
        <v>#VALUE!</v>
      </c>
      <c r="G26" s="220" t="e">
        <f t="shared" si="4"/>
        <v>#VALUE!</v>
      </c>
      <c r="H26" s="220" t="e">
        <f>G26*'Dados de custos'!$C$7</f>
        <v>#VALUE!</v>
      </c>
      <c r="I26" s="222">
        <f>INDEX('Dados de custos'!$C$11:$G$11,MATCH('Orçam. analítico'!C26,'Dados de custos'!$C$10:$G$10,0))</f>
        <v>0</v>
      </c>
      <c r="J26" s="220">
        <f>ROUND(VLOOKUP($B26,'Dados da empresa'!$B$26:$C$47,MATCH($J$4,'Dados da empresa'!$B$26:$C$26,0),FALSE)*'Dados de custos'!$C$6*2,2)+ROUND(-'Dados de custos'!$C$12*0.06,2)+IF(AND('Dados da empresa'!$C$14="Lucro real - Incidência cumulativa de PIS e COFINS",'Dados da empresa'!$C$15="Sim"),-ROUND((ROUND(VLOOKUP($B26,'Dados da empresa'!$B$26:$C$47,MATCH($J$4,'Dados da empresa'!$B$26:$C$26,0),FALSE)* 'Dados de custos'!$C$6*2,2)+ROUND(-'Dados de custos'!$C$12*0.06,2))*0.0925,2),0)</f>
        <v>220.59</v>
      </c>
      <c r="K26" s="220">
        <f>'Dados de custos'!$C$20+'Dados de custos'!$C$26+'Dados de custos'!$C$29+'Dados de custos'!$C$32+'Dados de custos'!$C$35+'Dados de custos'!$C$36</f>
        <v>0</v>
      </c>
      <c r="L26" s="220">
        <f>'Dados de custos'!$C$38</f>
        <v>0</v>
      </c>
      <c r="M26" s="220">
        <f>'Dados de custos'!$C$44</f>
        <v>0</v>
      </c>
      <c r="N26" s="221" t="e">
        <f>ROUND(VLOOKUP($B26,'Dados da empresa'!$B$26:$E$47,MATCH($N$4,'Dados da empresa'!$B$26:$E$26,0),FALSE)*(M26+L26+K26+J26+I26),2)</f>
        <v>#VALUE!</v>
      </c>
    </row>
    <row r="27" spans="2:18" x14ac:dyDescent="0.3">
      <c r="B27" s="223" t="s">
        <v>88</v>
      </c>
      <c r="C27" s="224" t="s">
        <v>77</v>
      </c>
      <c r="D27" s="225" t="s">
        <v>80</v>
      </c>
      <c r="E27" s="226">
        <f>VLOOKUP(B27,Postos!$B$4:$E$24,MATCH('Orçam. analítico'!C27,Postos!$B$3:$E$3,0),0)</f>
        <v>1</v>
      </c>
      <c r="F27" s="227" t="e">
        <f>I27+J27+K27+L27+M27+N27</f>
        <v>#VALUE!</v>
      </c>
      <c r="G27" s="227" t="e">
        <f t="shared" si="4"/>
        <v>#VALUE!</v>
      </c>
      <c r="H27" s="227" t="e">
        <f>G27*'Dados de custos'!$C$7</f>
        <v>#VALUE!</v>
      </c>
      <c r="I27" s="229">
        <f>INDEX('Dados de custos'!$C$11:$G$11,MATCH('Orçam. analítico'!C27,'Dados de custos'!$C$10:$G$10,0))</f>
        <v>0</v>
      </c>
      <c r="J27" s="227">
        <f>ROUND(VLOOKUP($B27,'Dados da empresa'!$B$26:$C$47,MATCH($J$4,'Dados da empresa'!$B$26:$C$26,0),FALSE)*'Dados de custos'!$C$6*2,2)+ROUND(-'Dados de custos'!$D$12*0.06,2)+IF(AND('Dados da empresa'!$C$14="Lucro real - Incidência cumulativa de PIS e COFINS",'Dados da empresa'!$C$15="Sim"),-ROUND((ROUND(VLOOKUP($B27,'Dados da empresa'!$B$26:$C$47,MATCH($J$4,'Dados da empresa'!$B$26:$C$26,0),FALSE)* 'Dados de custos'!$C$6*2,2)+ROUND(-'Dados de custos'!$D$12*0.06,2))*0.0925,2),0)</f>
        <v>220.59</v>
      </c>
      <c r="K27" s="227">
        <f>'Dados de custos'!$D$20+'Dados de custos'!$D$26+'Dados de custos'!$D$29+'Dados de custos'!$D$32+'Dados de custos'!$D$35+'Dados de custos'!$D$36</f>
        <v>0</v>
      </c>
      <c r="L27" s="227">
        <f>'Dados de custos'!$D$38</f>
        <v>0</v>
      </c>
      <c r="M27" s="227">
        <f>'Dados de custos'!$D$44</f>
        <v>0</v>
      </c>
      <c r="N27" s="228" t="e">
        <f>ROUND(VLOOKUP($B27,'Dados da empresa'!$B$26:$E$47,MATCH($N$4,'Dados da empresa'!$B$26:$E$26,0),FALSE)*(M27+L27+K27+J27+I27),2)</f>
        <v>#VALUE!</v>
      </c>
    </row>
    <row r="28" spans="2:18" x14ac:dyDescent="0.3">
      <c r="B28" s="230" t="s">
        <v>88</v>
      </c>
      <c r="C28" s="231" t="s">
        <v>158</v>
      </c>
      <c r="D28" s="207" t="s">
        <v>81</v>
      </c>
      <c r="E28" s="232">
        <f>VLOOKUP(B28,'Elem. de fachada + Jard.'!$B$4:$K$24,MATCH('Orçam. analítico'!C28,'Elem. de fachada + Jard.'!$B$3:$K$3,0),0)</f>
        <v>35.94</v>
      </c>
      <c r="F28" s="233" t="e">
        <f>VLOOKUP(C28,'Dados de custos'!$B$56:$E$64,4,0)*(1+VLOOKUP(B28,'Dados da empresa'!$B$27:$E$47,MATCH("BDI",'Dados da empresa'!$B$26:$E$26,0)))</f>
        <v>#VALUE!</v>
      </c>
      <c r="G28" s="233" t="e">
        <f t="shared" si="4"/>
        <v>#VALUE!</v>
      </c>
      <c r="H28" s="233" t="e">
        <f>G28*'Dados de custos'!$C$7</f>
        <v>#VALUE!</v>
      </c>
      <c r="I28" s="235" t="s">
        <v>1</v>
      </c>
      <c r="J28" s="233" t="s">
        <v>1</v>
      </c>
      <c r="K28" s="233" t="s">
        <v>1</v>
      </c>
      <c r="L28" s="233" t="s">
        <v>1</v>
      </c>
      <c r="M28" s="233" t="s">
        <v>1</v>
      </c>
      <c r="N28" s="234" t="s">
        <v>1</v>
      </c>
    </row>
    <row r="29" spans="2:18" x14ac:dyDescent="0.3">
      <c r="B29" s="223" t="s">
        <v>88</v>
      </c>
      <c r="C29" s="224" t="s">
        <v>159</v>
      </c>
      <c r="D29" s="225" t="s">
        <v>81</v>
      </c>
      <c r="E29" s="244">
        <f>VLOOKUP(B29,'Elem. de fachada + Jard.'!$B$4:$K$24,MATCH('Orçam. analítico'!C29,'Elem. de fachada + Jard.'!$B$3:$K$3,0),0)</f>
        <v>169.42</v>
      </c>
      <c r="F29" s="227" t="e">
        <f>VLOOKUP(C29,'Dados de custos'!$B$56:$E$64,4,0)*(1+VLOOKUP(B29,'Dados da empresa'!$B$27:$E$47,MATCH("BDI",'Dados da empresa'!$B$26:$E$26,0)))</f>
        <v>#VALUE!</v>
      </c>
      <c r="G29" s="227" t="e">
        <f t="shared" si="4"/>
        <v>#VALUE!</v>
      </c>
      <c r="H29" s="227" t="e">
        <f>G29*'Dados de custos'!$C$7</f>
        <v>#VALUE!</v>
      </c>
      <c r="I29" s="229" t="s">
        <v>1</v>
      </c>
      <c r="J29" s="227" t="s">
        <v>1</v>
      </c>
      <c r="K29" s="227" t="s">
        <v>1</v>
      </c>
      <c r="L29" s="227" t="s">
        <v>1</v>
      </c>
      <c r="M29" s="227" t="s">
        <v>1</v>
      </c>
      <c r="N29" s="228" t="s">
        <v>1</v>
      </c>
    </row>
    <row r="30" spans="2:18" x14ac:dyDescent="0.3">
      <c r="B30" s="230" t="s">
        <v>88</v>
      </c>
      <c r="C30" s="231" t="s">
        <v>74</v>
      </c>
      <c r="D30" s="207" t="s">
        <v>81</v>
      </c>
      <c r="E30" s="232">
        <f>VLOOKUP(B30,'Elem. de fachada + Jard.'!$B$4:$K$24,MATCH('Orçam. analítico'!C30,'Elem. de fachada + Jard.'!$B$3:$K$3,0),0)</f>
        <v>157.29</v>
      </c>
      <c r="F30" s="233" t="e">
        <f>VLOOKUP(C30,'Dados de custos'!$B$56:$E$64,4,0)*(1+VLOOKUP(B30,'Dados da empresa'!$B$27:$E$47,MATCH("BDI",'Dados da empresa'!$B$26:$E$26,0)))</f>
        <v>#VALUE!</v>
      </c>
      <c r="G30" s="233" t="e">
        <f t="shared" si="4"/>
        <v>#VALUE!</v>
      </c>
      <c r="H30" s="233" t="e">
        <f>G30*'Dados de custos'!$C$7</f>
        <v>#VALUE!</v>
      </c>
      <c r="I30" s="243" t="s">
        <v>1</v>
      </c>
      <c r="J30" s="233" t="s">
        <v>1</v>
      </c>
      <c r="K30" s="233" t="s">
        <v>1</v>
      </c>
      <c r="L30" s="233" t="s">
        <v>1</v>
      </c>
      <c r="M30" s="233" t="s">
        <v>1</v>
      </c>
      <c r="N30" s="234" t="s">
        <v>1</v>
      </c>
    </row>
    <row r="31" spans="2:18" ht="13.8" thickBot="1" x14ac:dyDescent="0.35">
      <c r="B31" s="252" t="s">
        <v>88</v>
      </c>
      <c r="C31" s="253" t="s">
        <v>6</v>
      </c>
      <c r="D31" s="254" t="s">
        <v>81</v>
      </c>
      <c r="E31" s="255">
        <f>VLOOKUP(B31,'Elem. de fachada + Jard.'!$B$4:$K$24,MATCH('Orçam. analítico'!C31,'Elem. de fachada + Jard.'!$B$3:$K$3,0),0)</f>
        <v>624.66999999999996</v>
      </c>
      <c r="F31" s="256" t="e">
        <f>VLOOKUP(C31,'Dados de custos'!$B$56:$E$64,4,0)*(1+VLOOKUP(B31,'Dados da empresa'!$B$27:$E$47,MATCH("BDI",'Dados da empresa'!$B$26:$E$26,0)))</f>
        <v>#VALUE!</v>
      </c>
      <c r="G31" s="256" t="e">
        <f t="shared" si="4"/>
        <v>#VALUE!</v>
      </c>
      <c r="H31" s="256" t="e">
        <f>G31*'Dados de custos'!$C$7</f>
        <v>#VALUE!</v>
      </c>
      <c r="I31" s="258" t="s">
        <v>1</v>
      </c>
      <c r="J31" s="256" t="s">
        <v>1</v>
      </c>
      <c r="K31" s="256" t="s">
        <v>1</v>
      </c>
      <c r="L31" s="256" t="s">
        <v>1</v>
      </c>
      <c r="M31" s="256" t="s">
        <v>1</v>
      </c>
      <c r="N31" s="257" t="s">
        <v>1</v>
      </c>
    </row>
    <row r="32" spans="2:18" x14ac:dyDescent="0.3">
      <c r="B32" s="230" t="s">
        <v>89</v>
      </c>
      <c r="C32" s="231" t="s">
        <v>77</v>
      </c>
      <c r="D32" s="207" t="s">
        <v>80</v>
      </c>
      <c r="E32" s="242">
        <f>VLOOKUP(B32,Postos!$B$4:$E$24,MATCH('Orçam. analítico'!C32,Postos!$B$3:$E$3,0),0)</f>
        <v>1</v>
      </c>
      <c r="F32" s="233" t="e">
        <f>I32+J32+K32+L32+M32+N32</f>
        <v>#VALUE!</v>
      </c>
      <c r="G32" s="233" t="e">
        <f t="shared" si="4"/>
        <v>#VALUE!</v>
      </c>
      <c r="H32" s="233" t="e">
        <f>G32*'Dados de custos'!$C$7</f>
        <v>#VALUE!</v>
      </c>
      <c r="I32" s="243">
        <f>INDEX('Dados de custos'!$C$11:$G$11,MATCH('Orçam. analítico'!C32,'Dados de custos'!$C$10:$G$10,0))</f>
        <v>0</v>
      </c>
      <c r="J32" s="233">
        <f>ROUND(VLOOKUP($B32,'Dados da empresa'!$B$26:$C$47,MATCH($J$4,'Dados da empresa'!$B$26:$C$26,0),FALSE)*'Dados de custos'!$C$6*2,2)+ROUND(-'Dados de custos'!$D$12*0.06,2)+IF(AND('Dados da empresa'!$C$14="Lucro real - Incidência cumulativa de PIS e COFINS",'Dados da empresa'!$C$15="Sim"),-ROUND((ROUND(VLOOKUP($B32,'Dados da empresa'!$B$26:$C$47,MATCH($J$4,'Dados da empresa'!$B$26:$C$26,0),FALSE)* 'Dados de custos'!$C$6*2,2)+ROUND(-'Dados de custos'!$D$12*0.06,2))*0.0925,2),0)</f>
        <v>208.34</v>
      </c>
      <c r="K32" s="233">
        <f>'Dados de custos'!$D$20+'Dados de custos'!$D$26+'Dados de custos'!$D$29+'Dados de custos'!$D$32+'Dados de custos'!$D$35+'Dados de custos'!$D$36</f>
        <v>0</v>
      </c>
      <c r="L32" s="233">
        <f>'Dados de custos'!$D$38</f>
        <v>0</v>
      </c>
      <c r="M32" s="233">
        <f>'Dados de custos'!$D$44</f>
        <v>0</v>
      </c>
      <c r="N32" s="234" t="e">
        <f>ROUND(VLOOKUP($B32,'Dados da empresa'!$B$26:$E$47,MATCH($N$4,'Dados da empresa'!$B$26:$E$26,0),FALSE)*(M32+L32+K32+J32+I32),2)</f>
        <v>#VALUE!</v>
      </c>
    </row>
    <row r="33" spans="2:18" x14ac:dyDescent="0.3">
      <c r="B33" s="223" t="s">
        <v>89</v>
      </c>
      <c r="C33" s="224" t="s">
        <v>158</v>
      </c>
      <c r="D33" s="225" t="s">
        <v>81</v>
      </c>
      <c r="E33" s="244">
        <f>VLOOKUP(B33,'Elem. de fachada + Jard.'!$B$4:$K$24,MATCH('Orçam. analítico'!C33,'Elem. de fachada + Jard.'!$B$3:$K$3,0),0)</f>
        <v>20.100000000000001</v>
      </c>
      <c r="F33" s="227" t="e">
        <f>VLOOKUP(C33,'Dados de custos'!$B$56:$E$64,4,0)*(1+VLOOKUP(B33,'Dados da empresa'!$B$27:$E$47,MATCH("BDI",'Dados da empresa'!$B$26:$E$26,0)))</f>
        <v>#VALUE!</v>
      </c>
      <c r="G33" s="227" t="e">
        <f t="shared" si="4"/>
        <v>#VALUE!</v>
      </c>
      <c r="H33" s="227" t="e">
        <f>G33*'Dados de custos'!$C$7</f>
        <v>#VALUE!</v>
      </c>
      <c r="I33" s="229" t="s">
        <v>1</v>
      </c>
      <c r="J33" s="227" t="s">
        <v>1</v>
      </c>
      <c r="K33" s="227" t="s">
        <v>1</v>
      </c>
      <c r="L33" s="227" t="s">
        <v>1</v>
      </c>
      <c r="M33" s="227" t="s">
        <v>1</v>
      </c>
      <c r="N33" s="228" t="s">
        <v>1</v>
      </c>
    </row>
    <row r="34" spans="2:18" x14ac:dyDescent="0.3">
      <c r="B34" s="230" t="s">
        <v>89</v>
      </c>
      <c r="C34" s="231" t="s">
        <v>159</v>
      </c>
      <c r="D34" s="207" t="s">
        <v>81</v>
      </c>
      <c r="E34" s="232">
        <f>VLOOKUP(B34,'Elem. de fachada + Jard.'!$B$4:$K$24,MATCH('Orçam. analítico'!C34,'Elem. de fachada + Jard.'!$B$3:$K$3,0),0)</f>
        <v>189.69</v>
      </c>
      <c r="F34" s="233" t="e">
        <f>VLOOKUP(C34,'Dados de custos'!$B$56:$E$64,4,0)*(1+VLOOKUP(B34,'Dados da empresa'!$B$27:$E$47,MATCH("BDI",'Dados da empresa'!$B$26:$E$26,0)))</f>
        <v>#VALUE!</v>
      </c>
      <c r="G34" s="233" t="e">
        <f t="shared" si="4"/>
        <v>#VALUE!</v>
      </c>
      <c r="H34" s="233" t="e">
        <f>G34*'Dados de custos'!$C$7</f>
        <v>#VALUE!</v>
      </c>
      <c r="I34" s="243" t="s">
        <v>1</v>
      </c>
      <c r="J34" s="233" t="s">
        <v>1</v>
      </c>
      <c r="K34" s="233" t="s">
        <v>1</v>
      </c>
      <c r="L34" s="233" t="s">
        <v>1</v>
      </c>
      <c r="M34" s="233" t="s">
        <v>1</v>
      </c>
      <c r="N34" s="234" t="s">
        <v>1</v>
      </c>
    </row>
    <row r="35" spans="2:18" ht="13.8" thickBot="1" x14ac:dyDescent="0.35">
      <c r="B35" s="252" t="s">
        <v>89</v>
      </c>
      <c r="C35" s="253" t="s">
        <v>6</v>
      </c>
      <c r="D35" s="254" t="s">
        <v>81</v>
      </c>
      <c r="E35" s="255">
        <f>VLOOKUP(B35,'Elem. de fachada + Jard.'!$B$4:$K$24,MATCH('Orçam. analítico'!C35,'Elem. de fachada + Jard.'!$B$3:$K$3,0),0)</f>
        <v>252.78</v>
      </c>
      <c r="F35" s="256" t="e">
        <f>VLOOKUP(C35,'Dados de custos'!$B$56:$E$64,4,0)*(1+VLOOKUP(B35,'Dados da empresa'!$B$27:$E$47,MATCH("BDI",'Dados da empresa'!$B$26:$E$26,0)))</f>
        <v>#VALUE!</v>
      </c>
      <c r="G35" s="256" t="e">
        <f t="shared" si="4"/>
        <v>#VALUE!</v>
      </c>
      <c r="H35" s="256" t="e">
        <f>G35*'Dados de custos'!$C$7</f>
        <v>#VALUE!</v>
      </c>
      <c r="I35" s="258" t="s">
        <v>1</v>
      </c>
      <c r="J35" s="256" t="s">
        <v>1</v>
      </c>
      <c r="K35" s="256" t="s">
        <v>1</v>
      </c>
      <c r="L35" s="256" t="s">
        <v>1</v>
      </c>
      <c r="M35" s="256" t="s">
        <v>1</v>
      </c>
      <c r="N35" s="257" t="s">
        <v>1</v>
      </c>
    </row>
    <row r="36" spans="2:18" x14ac:dyDescent="0.3">
      <c r="B36" s="216" t="s">
        <v>90</v>
      </c>
      <c r="C36" s="217" t="s">
        <v>85</v>
      </c>
      <c r="D36" s="218" t="s">
        <v>80</v>
      </c>
      <c r="E36" s="219">
        <f>VLOOKUP(B36,Postos!$B$4:$E$24,MATCH('Orçam. analítico'!C36,Postos!$B$3:$E$3,0),0)</f>
        <v>1</v>
      </c>
      <c r="F36" s="220" t="e">
        <f>I36+J36+K36+L36+M36+N36</f>
        <v>#VALUE!</v>
      </c>
      <c r="G36" s="220" t="e">
        <f t="shared" si="4"/>
        <v>#VALUE!</v>
      </c>
      <c r="H36" s="220" t="e">
        <f>G36*'Dados de custos'!$C$7</f>
        <v>#VALUE!</v>
      </c>
      <c r="I36" s="222">
        <f>INDEX('Dados de custos'!$C$11:$G$11,MATCH('Orçam. analítico'!C36,'Dados de custos'!$C$10:$G$10,0))</f>
        <v>0</v>
      </c>
      <c r="J36" s="220">
        <f>ROUND(VLOOKUP($B36,'Dados da empresa'!$B$26:$C$47,MATCH($J$4,'Dados da empresa'!$B$26:$C$26,0),FALSE)*'Dados de custos'!$C$6*2,2)+ROUND(-'Dados de custos'!$C$12*0.06,2)+IF(AND('Dados da empresa'!$C$14="Lucro real - Incidência cumulativa de PIS e COFINS",'Dados da empresa'!$C$15="Sim"),-ROUND((ROUND(VLOOKUP($B36,'Dados da empresa'!$B$26:$C$47,MATCH($J$4,'Dados da empresa'!$B$26:$C$26,0),FALSE)* 'Dados de custos'!$C$6*2,2)+ROUND(-'Dados de custos'!$C$12*0.06,2))*0.0925,2),0)</f>
        <v>205.88</v>
      </c>
      <c r="K36" s="220">
        <f>'Dados de custos'!$C$20+'Dados de custos'!$C$26+'Dados de custos'!$C$29+'Dados de custos'!$C$32+'Dados de custos'!$C$35+'Dados de custos'!$C$36</f>
        <v>0</v>
      </c>
      <c r="L36" s="220">
        <f>'Dados de custos'!$C$38</f>
        <v>0</v>
      </c>
      <c r="M36" s="220">
        <f>'Dados de custos'!$C$44</f>
        <v>0</v>
      </c>
      <c r="N36" s="221" t="e">
        <f>ROUND(VLOOKUP($B36,'Dados da empresa'!$B$26:$E$47,MATCH($N$4,'Dados da empresa'!$B$26:$E$26,0),FALSE)*(M36+L36+K36+J36+I36),2)</f>
        <v>#VALUE!</v>
      </c>
    </row>
    <row r="37" spans="2:18" x14ac:dyDescent="0.3">
      <c r="B37" s="223" t="s">
        <v>90</v>
      </c>
      <c r="C37" s="224" t="s">
        <v>77</v>
      </c>
      <c r="D37" s="225" t="s">
        <v>80</v>
      </c>
      <c r="E37" s="226">
        <f>VLOOKUP(B37,Postos!$B$4:$E$24,MATCH('Orçam. analítico'!C37,Postos!$B$3:$E$3,0),0)</f>
        <v>1</v>
      </c>
      <c r="F37" s="227" t="e">
        <f>I37+J37+K37+L37+M37+N37</f>
        <v>#VALUE!</v>
      </c>
      <c r="G37" s="227" t="e">
        <f t="shared" si="4"/>
        <v>#VALUE!</v>
      </c>
      <c r="H37" s="227" t="e">
        <f>G37*'Dados de custos'!$C$7</f>
        <v>#VALUE!</v>
      </c>
      <c r="I37" s="229">
        <f>INDEX('Dados de custos'!$C$11:$G$11,MATCH('Orçam. analítico'!C37,'Dados de custos'!$C$10:$G$10,0))</f>
        <v>0</v>
      </c>
      <c r="J37" s="227">
        <f>ROUND(VLOOKUP($B37,'Dados da empresa'!$B$26:$C$47,MATCH($J$4,'Dados da empresa'!$B$26:$C$26,0),FALSE)*'Dados de custos'!$C$6*2,2)+ROUND(-'Dados de custos'!$D$12*0.06,2)+IF(AND('Dados da empresa'!$C$14="Lucro real - Incidência cumulativa de PIS e COFINS",'Dados da empresa'!$C$15="Sim"),-ROUND((ROUND(VLOOKUP($B37,'Dados da empresa'!$B$26:$C$47,MATCH($J$4,'Dados da empresa'!$B$26:$C$26,0),FALSE)* 'Dados de custos'!$C$6*2,2)+ROUND(-'Dados de custos'!$D$12*0.06,2))*0.0925,2),0)</f>
        <v>205.88</v>
      </c>
      <c r="K37" s="227">
        <f>'Dados de custos'!$D$20+'Dados de custos'!$D$26+'Dados de custos'!$D$29+'Dados de custos'!$D$32+'Dados de custos'!$D$35+'Dados de custos'!$D$36</f>
        <v>0</v>
      </c>
      <c r="L37" s="227">
        <f>'Dados de custos'!$D$38</f>
        <v>0</v>
      </c>
      <c r="M37" s="227">
        <f>'Dados de custos'!$D$44</f>
        <v>0</v>
      </c>
      <c r="N37" s="228" t="e">
        <f>ROUND(VLOOKUP($B37,'Dados da empresa'!$B$26:$E$47,MATCH($N$4,'Dados da empresa'!$B$26:$E$26,0),FALSE)*(M37+L37+K37+J37+I37),2)</f>
        <v>#VALUE!</v>
      </c>
    </row>
    <row r="38" spans="2:18" x14ac:dyDescent="0.3">
      <c r="B38" s="230" t="s">
        <v>90</v>
      </c>
      <c r="C38" s="231" t="s">
        <v>158</v>
      </c>
      <c r="D38" s="207" t="s">
        <v>81</v>
      </c>
      <c r="E38" s="232">
        <f>VLOOKUP(B38,'Elem. de fachada + Jard.'!$B$4:$K$24,MATCH('Orçam. analítico'!C38,'Elem. de fachada + Jard.'!$B$3:$K$3,0),0)</f>
        <v>163.94</v>
      </c>
      <c r="F38" s="233" t="e">
        <f>VLOOKUP(C38,'Dados de custos'!$B$56:$E$64,4,0)*(1+VLOOKUP(B38,'Dados da empresa'!$B$27:$E$47,MATCH("BDI",'Dados da empresa'!$B$26:$E$26,0)))</f>
        <v>#VALUE!</v>
      </c>
      <c r="G38" s="233" t="e">
        <f t="shared" si="4"/>
        <v>#VALUE!</v>
      </c>
      <c r="H38" s="233" t="e">
        <f>G38*'Dados de custos'!$C$7</f>
        <v>#VALUE!</v>
      </c>
      <c r="I38" s="235" t="s">
        <v>1</v>
      </c>
      <c r="J38" s="233" t="s">
        <v>1</v>
      </c>
      <c r="K38" s="233" t="s">
        <v>1</v>
      </c>
      <c r="L38" s="233" t="s">
        <v>1</v>
      </c>
      <c r="M38" s="233" t="s">
        <v>1</v>
      </c>
      <c r="N38" s="234" t="s">
        <v>1</v>
      </c>
    </row>
    <row r="39" spans="2:18" x14ac:dyDescent="0.3">
      <c r="B39" s="223" t="s">
        <v>90</v>
      </c>
      <c r="C39" s="224" t="s">
        <v>159</v>
      </c>
      <c r="D39" s="225" t="s">
        <v>81</v>
      </c>
      <c r="E39" s="244">
        <f>VLOOKUP(B39,'Elem. de fachada + Jard.'!$B$4:$K$24,MATCH('Orçam. analítico'!C39,'Elem. de fachada + Jard.'!$B$3:$K$3,0),0)</f>
        <v>173.99</v>
      </c>
      <c r="F39" s="227" t="e">
        <f>VLOOKUP(C39,'Dados de custos'!$B$56:$E$64,4,0)*(1+VLOOKUP(B39,'Dados da empresa'!$B$27:$E$47,MATCH("BDI",'Dados da empresa'!$B$26:$E$26,0)))</f>
        <v>#VALUE!</v>
      </c>
      <c r="G39" s="227" t="e">
        <f t="shared" si="4"/>
        <v>#VALUE!</v>
      </c>
      <c r="H39" s="227" t="e">
        <f>G39*'Dados de custos'!$C$7</f>
        <v>#VALUE!</v>
      </c>
      <c r="I39" s="229" t="s">
        <v>1</v>
      </c>
      <c r="J39" s="227" t="s">
        <v>1</v>
      </c>
      <c r="K39" s="227" t="s">
        <v>1</v>
      </c>
      <c r="L39" s="227" t="s">
        <v>1</v>
      </c>
      <c r="M39" s="227" t="s">
        <v>1</v>
      </c>
      <c r="N39" s="228" t="s">
        <v>1</v>
      </c>
    </row>
    <row r="40" spans="2:18" ht="13.8" thickBot="1" x14ac:dyDescent="0.35">
      <c r="B40" s="236" t="s">
        <v>90</v>
      </c>
      <c r="C40" s="237" t="s">
        <v>6</v>
      </c>
      <c r="D40" s="208" t="s">
        <v>81</v>
      </c>
      <c r="E40" s="238">
        <f>VLOOKUP(B40,'Elem. de fachada + Jard.'!$B$4:$K$24,MATCH('Orçam. analítico'!C40,'Elem. de fachada + Jard.'!$B$3:$K$3,0),0)</f>
        <v>287.5</v>
      </c>
      <c r="F40" s="239" t="e">
        <f>VLOOKUP(C40,'Dados de custos'!$B$56:$E$64,4,0)*(1+VLOOKUP(B40,'Dados da empresa'!$B$27:$E$47,MATCH("BDI",'Dados da empresa'!$B$26:$E$26,0)))</f>
        <v>#VALUE!</v>
      </c>
      <c r="G40" s="239" t="e">
        <f t="shared" si="4"/>
        <v>#VALUE!</v>
      </c>
      <c r="H40" s="239" t="e">
        <f>G40*'Dados de custos'!$C$7</f>
        <v>#VALUE!</v>
      </c>
      <c r="I40" s="241" t="s">
        <v>1</v>
      </c>
      <c r="J40" s="239" t="s">
        <v>1</v>
      </c>
      <c r="K40" s="239" t="s">
        <v>1</v>
      </c>
      <c r="L40" s="239" t="s">
        <v>1</v>
      </c>
      <c r="M40" s="239" t="s">
        <v>1</v>
      </c>
      <c r="N40" s="240" t="s">
        <v>1</v>
      </c>
    </row>
    <row r="41" spans="2:18" x14ac:dyDescent="0.3">
      <c r="B41" s="245" t="s">
        <v>91</v>
      </c>
      <c r="C41" s="246" t="s">
        <v>85</v>
      </c>
      <c r="D41" s="247" t="s">
        <v>80</v>
      </c>
      <c r="E41" s="248">
        <f>VLOOKUP(B41,Postos!$B$4:$E$24,MATCH('Orçam. analítico'!C41,Postos!$B$3:$E$3,0),0)</f>
        <v>1</v>
      </c>
      <c r="F41" s="249" t="e">
        <f>I41+J41+K41+L41+M41+N41</f>
        <v>#VALUE!</v>
      </c>
      <c r="G41" s="249" t="e">
        <f t="shared" si="4"/>
        <v>#VALUE!</v>
      </c>
      <c r="H41" s="249" t="e">
        <f>G41*'Dados de custos'!$C$7</f>
        <v>#VALUE!</v>
      </c>
      <c r="I41" s="251">
        <f>INDEX('Dados de custos'!$C$11:$G$11,MATCH('Orçam. analítico'!C41,'Dados de custos'!$C$10:$G$10,0))</f>
        <v>0</v>
      </c>
      <c r="J41" s="249">
        <f>ROUND(VLOOKUP($B41,'Dados da empresa'!$B$26:$C$47,MATCH($J$4,'Dados da empresa'!$B$26:$C$26,0),FALSE)*'Dados de custos'!$C$6*2,2)+ROUND(-'Dados de custos'!$C$12*0.06,2)+IF(AND('Dados da empresa'!$C$14="Lucro real - Incidência cumulativa de PIS e COFINS",'Dados da empresa'!$C$15="Sim"),-ROUND((ROUND(VLOOKUP($B41,'Dados da empresa'!$B$26:$C$47,MATCH($J$4,'Dados da empresa'!$B$26:$C$26,0),FALSE)* 'Dados de custos'!$C$6*2,2)+ROUND(-'Dados de custos'!$C$12*0.06,2))*0.0925,2),0)</f>
        <v>254.9</v>
      </c>
      <c r="K41" s="249">
        <f>'Dados de custos'!$C$20+'Dados de custos'!$C$26+'Dados de custos'!$C$29+'Dados de custos'!$C$32+'Dados de custos'!$C$35+'Dados de custos'!$C$36</f>
        <v>0</v>
      </c>
      <c r="L41" s="249">
        <f>'Dados de custos'!$C$38</f>
        <v>0</v>
      </c>
      <c r="M41" s="249">
        <f>'Dados de custos'!$C$44</f>
        <v>0</v>
      </c>
      <c r="N41" s="250" t="e">
        <f>ROUND(VLOOKUP($B41,'Dados da empresa'!$B$26:$E$47,MATCH($N$4,'Dados da empresa'!$B$26:$E$26,0),FALSE)*(M41+L41+K41+J41+I41),2)</f>
        <v>#VALUE!</v>
      </c>
    </row>
    <row r="42" spans="2:18" x14ac:dyDescent="0.3">
      <c r="B42" s="230" t="s">
        <v>91</v>
      </c>
      <c r="C42" s="231" t="s">
        <v>77</v>
      </c>
      <c r="D42" s="207" t="s">
        <v>80</v>
      </c>
      <c r="E42" s="242">
        <f>VLOOKUP(B42,Postos!$B$4:$E$24,MATCH('Orçam. analítico'!C42,Postos!$B$3:$E$3,0),0)</f>
        <v>1</v>
      </c>
      <c r="F42" s="233" t="e">
        <f>I42+J42+K42+L42+M42+N42</f>
        <v>#VALUE!</v>
      </c>
      <c r="G42" s="233" t="e">
        <f t="shared" si="4"/>
        <v>#VALUE!</v>
      </c>
      <c r="H42" s="233" t="e">
        <f>G42*'Dados de custos'!$C$7</f>
        <v>#VALUE!</v>
      </c>
      <c r="I42" s="243">
        <f>INDEX('Dados de custos'!$C$11:$G$11,MATCH('Orçam. analítico'!C42,'Dados de custos'!$C$10:$G$10,0))</f>
        <v>0</v>
      </c>
      <c r="J42" s="233">
        <f>ROUND(VLOOKUP($B42,'Dados da empresa'!$B$26:$C$47,MATCH($J$4,'Dados da empresa'!$B$26:$C$26,0),FALSE)*'Dados de custos'!$C$6*2,2)+ROUND(-'Dados de custos'!$D$12*0.06,2)+IF(AND('Dados da empresa'!$C$14="Lucro real - Incidência cumulativa de PIS e COFINS",'Dados da empresa'!$C$15="Sim"),-ROUND((ROUND(VLOOKUP($B42,'Dados da empresa'!$B$26:$C$47,MATCH($J$4,'Dados da empresa'!$B$26:$C$26,0),FALSE)* 'Dados de custos'!$C$6*2,2)+ROUND(-'Dados de custos'!$D$12*0.06,2))*0.0925,2),0)</f>
        <v>254.9</v>
      </c>
      <c r="K42" s="233">
        <f>'Dados de custos'!$D$20+'Dados de custos'!$D$26+'Dados de custos'!$D$29+'Dados de custos'!$D$32+'Dados de custos'!$D$35+'Dados de custos'!$D$36</f>
        <v>0</v>
      </c>
      <c r="L42" s="233">
        <f>'Dados de custos'!$D$38</f>
        <v>0</v>
      </c>
      <c r="M42" s="233">
        <f>'Dados de custos'!$D$44</f>
        <v>0</v>
      </c>
      <c r="N42" s="234" t="e">
        <f>ROUND(VLOOKUP($B42,'Dados da empresa'!$B$26:$E$47,MATCH($N$4,'Dados da empresa'!$B$26:$E$26,0),FALSE)*(M42+L42+K42+J42+I42),2)</f>
        <v>#VALUE!</v>
      </c>
    </row>
    <row r="43" spans="2:18" x14ac:dyDescent="0.3">
      <c r="B43" s="223" t="s">
        <v>91</v>
      </c>
      <c r="C43" s="224" t="s">
        <v>158</v>
      </c>
      <c r="D43" s="225" t="s">
        <v>81</v>
      </c>
      <c r="E43" s="244">
        <f>VLOOKUP(B43,'Elem. de fachada + Jard.'!$B$4:$K$24,MATCH('Orçam. analítico'!C43,'Elem. de fachada + Jard.'!$B$3:$K$3,0),0)</f>
        <v>35.369999999999997</v>
      </c>
      <c r="F43" s="227" t="e">
        <f>VLOOKUP(C43,'Dados de custos'!$B$56:$E$64,4,0)*(1+VLOOKUP(B43,'Dados da empresa'!$B$27:$E$47,MATCH("BDI",'Dados da empresa'!$B$26:$E$26,0)))</f>
        <v>#VALUE!</v>
      </c>
      <c r="G43" s="227" t="e">
        <f t="shared" si="4"/>
        <v>#VALUE!</v>
      </c>
      <c r="H43" s="227" t="e">
        <f>G43*'Dados de custos'!$C$7</f>
        <v>#VALUE!</v>
      </c>
      <c r="I43" s="229" t="s">
        <v>1</v>
      </c>
      <c r="J43" s="227" t="s">
        <v>1</v>
      </c>
      <c r="K43" s="227" t="s">
        <v>1</v>
      </c>
      <c r="L43" s="227" t="s">
        <v>1</v>
      </c>
      <c r="M43" s="227" t="s">
        <v>1</v>
      </c>
      <c r="N43" s="228" t="s">
        <v>1</v>
      </c>
    </row>
    <row r="44" spans="2:18" x14ac:dyDescent="0.3">
      <c r="B44" s="230" t="s">
        <v>91</v>
      </c>
      <c r="C44" s="231" t="s">
        <v>159</v>
      </c>
      <c r="D44" s="207" t="s">
        <v>81</v>
      </c>
      <c r="E44" s="232">
        <f>VLOOKUP(B44,'Elem. de fachada + Jard.'!$B$4:$K$24,MATCH('Orçam. analítico'!C44,'Elem. de fachada + Jard.'!$B$3:$K$3,0),0)</f>
        <v>142.86000000000001</v>
      </c>
      <c r="F44" s="233" t="e">
        <f>VLOOKUP(C44,'Dados de custos'!$B$56:$E$64,4,0)*(1+VLOOKUP(B44,'Dados da empresa'!$B$27:$E$47,MATCH("BDI",'Dados da empresa'!$B$26:$E$26,0)))</f>
        <v>#VALUE!</v>
      </c>
      <c r="G44" s="233" t="e">
        <f t="shared" si="4"/>
        <v>#VALUE!</v>
      </c>
      <c r="H44" s="233" t="e">
        <f>G44*'Dados de custos'!$C$7</f>
        <v>#VALUE!</v>
      </c>
      <c r="I44" s="243" t="s">
        <v>1</v>
      </c>
      <c r="J44" s="233" t="s">
        <v>1</v>
      </c>
      <c r="K44" s="233" t="s">
        <v>1</v>
      </c>
      <c r="L44" s="233" t="s">
        <v>1</v>
      </c>
      <c r="M44" s="233" t="s">
        <v>1</v>
      </c>
      <c r="N44" s="234" t="s">
        <v>1</v>
      </c>
    </row>
    <row r="45" spans="2:18" x14ac:dyDescent="0.3">
      <c r="B45" s="223" t="s">
        <v>91</v>
      </c>
      <c r="C45" s="224" t="s">
        <v>74</v>
      </c>
      <c r="D45" s="225" t="s">
        <v>81</v>
      </c>
      <c r="E45" s="244">
        <f>VLOOKUP(B45,'Elem. de fachada + Jard.'!$B$4:$K$24,MATCH('Orçam. analítico'!C45,'Elem. de fachada + Jard.'!$B$3:$K$3,0),0)</f>
        <v>194.9</v>
      </c>
      <c r="F45" s="227" t="e">
        <f>VLOOKUP(C45,'Dados de custos'!$B$56:$E$64,4,0)*(1+VLOOKUP(B45,'Dados da empresa'!$B$27:$E$47,MATCH("BDI",'Dados da empresa'!$B$26:$E$26,0)))</f>
        <v>#VALUE!</v>
      </c>
      <c r="G45" s="227" t="e">
        <f t="shared" si="4"/>
        <v>#VALUE!</v>
      </c>
      <c r="H45" s="227" t="e">
        <f>G45*'Dados de custos'!$C$7</f>
        <v>#VALUE!</v>
      </c>
      <c r="I45" s="229" t="s">
        <v>1</v>
      </c>
      <c r="J45" s="227" t="s">
        <v>1</v>
      </c>
      <c r="K45" s="227" t="s">
        <v>1</v>
      </c>
      <c r="L45" s="227" t="s">
        <v>1</v>
      </c>
      <c r="M45" s="227" t="s">
        <v>1</v>
      </c>
      <c r="N45" s="228" t="s">
        <v>1</v>
      </c>
    </row>
    <row r="46" spans="2:18" ht="13.8" thickBot="1" x14ac:dyDescent="0.35">
      <c r="B46" s="236" t="s">
        <v>91</v>
      </c>
      <c r="C46" s="237" t="s">
        <v>6</v>
      </c>
      <c r="D46" s="208" t="s">
        <v>81</v>
      </c>
      <c r="E46" s="238">
        <f>VLOOKUP(B46,'Elem. de fachada + Jard.'!$B$4:$K$24,MATCH('Orçam. analítico'!C46,'Elem. de fachada + Jard.'!$B$3:$K$3,0),0)</f>
        <v>133.57</v>
      </c>
      <c r="F46" s="239" t="e">
        <f>VLOOKUP(C46,'Dados de custos'!$B$56:$E$64,4,0)*(1+VLOOKUP(B46,'Dados da empresa'!$B$27:$E$47,MATCH("BDI",'Dados da empresa'!$B$26:$E$26,0)))</f>
        <v>#VALUE!</v>
      </c>
      <c r="G46" s="239" t="e">
        <f t="shared" si="4"/>
        <v>#VALUE!</v>
      </c>
      <c r="H46" s="239" t="e">
        <f>G46*'Dados de custos'!$C$7</f>
        <v>#VALUE!</v>
      </c>
      <c r="I46" s="241" t="s">
        <v>1</v>
      </c>
      <c r="J46" s="239" t="s">
        <v>1</v>
      </c>
      <c r="K46" s="239" t="s">
        <v>1</v>
      </c>
      <c r="L46" s="239" t="s">
        <v>1</v>
      </c>
      <c r="M46" s="239" t="s">
        <v>1</v>
      </c>
      <c r="N46" s="240" t="s">
        <v>1</v>
      </c>
    </row>
    <row r="47" spans="2:18" x14ac:dyDescent="0.3">
      <c r="B47" s="245" t="s">
        <v>104</v>
      </c>
      <c r="C47" s="246" t="s">
        <v>85</v>
      </c>
      <c r="D47" s="247" t="s">
        <v>80</v>
      </c>
      <c r="E47" s="248">
        <f>VLOOKUP(B47,Postos!$B$4:$E$24,MATCH('Orçam. analítico'!C47,Postos!$B$3:$E$3,0),0)</f>
        <v>1</v>
      </c>
      <c r="F47" s="249" t="e">
        <f>I47+J47+K47+L47+M47+N47</f>
        <v>#VALUE!</v>
      </c>
      <c r="G47" s="249" t="e">
        <f t="shared" si="4"/>
        <v>#VALUE!</v>
      </c>
      <c r="H47" s="249" t="e">
        <f>G47*'Dados de custos'!$C$7</f>
        <v>#VALUE!</v>
      </c>
      <c r="I47" s="251">
        <f>INDEX('Dados de custos'!$C$11:$G$11,MATCH('Orçam. analítico'!C47,'Dados de custos'!$C$10:$G$10,0))</f>
        <v>0</v>
      </c>
      <c r="J47" s="249">
        <f>ROUND(VLOOKUP($B47,'Dados da empresa'!$B$26:$C$47,MATCH($J$4,'Dados da empresa'!$B$26:$C$26,0),FALSE)*'Dados de custos'!$C$6*2,2)+ROUND(-'Dados de custos'!$C$12*0.06,2)+IF(AND('Dados da empresa'!$C$14="Lucro real - Incidência cumulativa de PIS e COFINS",'Dados da empresa'!$C$15="Sim"),-ROUND((ROUND(VLOOKUP($B47,'Dados da empresa'!$B$26:$C$47,MATCH($J$4,'Dados da empresa'!$B$26:$C$26,0),FALSE)* 'Dados de custos'!$C$6*2,2)+ROUND(-'Dados de custos'!$C$12*0.06,2))*0.0925,2),0)</f>
        <v>200.98</v>
      </c>
      <c r="K47" s="249">
        <f>'Dados de custos'!$C$20+'Dados de custos'!$C$26+'Dados de custos'!$C$29+'Dados de custos'!$C$32+'Dados de custos'!$C$35+'Dados de custos'!$C$36</f>
        <v>0</v>
      </c>
      <c r="L47" s="249">
        <f>'Dados de custos'!$C$38</f>
        <v>0</v>
      </c>
      <c r="M47" s="249">
        <f>'Dados de custos'!$C$44</f>
        <v>0</v>
      </c>
      <c r="N47" s="250" t="e">
        <f>ROUND(VLOOKUP($B47,'Dados da empresa'!$B$26:$E$47,MATCH($N$4,'Dados da empresa'!$B$26:$E$26,0),FALSE)*(M47+L47+K47+J47+I47),2)</f>
        <v>#VALUE!</v>
      </c>
    </row>
    <row r="48" spans="2:18" x14ac:dyDescent="0.3">
      <c r="B48" s="230" t="s">
        <v>104</v>
      </c>
      <c r="C48" s="231" t="s">
        <v>77</v>
      </c>
      <c r="D48" s="207" t="s">
        <v>80</v>
      </c>
      <c r="E48" s="242">
        <f>VLOOKUP(B48,Postos!$B$4:$E$24,MATCH('Orçam. analítico'!C48,Postos!$B$3:$E$3,0),0)</f>
        <v>1</v>
      </c>
      <c r="F48" s="233" t="e">
        <f>I48+J48+K48+L48+M48+N48</f>
        <v>#VALUE!</v>
      </c>
      <c r="G48" s="233" t="e">
        <f t="shared" si="4"/>
        <v>#VALUE!</v>
      </c>
      <c r="H48" s="233" t="e">
        <f>G48*'Dados de custos'!$C$7</f>
        <v>#VALUE!</v>
      </c>
      <c r="I48" s="243">
        <f>INDEX('Dados de custos'!$C$11:$G$11,MATCH('Orçam. analítico'!C48,'Dados de custos'!$C$10:$G$10,0))</f>
        <v>0</v>
      </c>
      <c r="J48" s="233">
        <f>ROUND(VLOOKUP($B48,'Dados da empresa'!$B$26:$C$47,MATCH($J$4,'Dados da empresa'!$B$26:$C$26,0),FALSE)*'Dados de custos'!$C$6*2,2)+ROUND(-'Dados de custos'!$D$12*0.06,2)+IF(AND('Dados da empresa'!$C$14="Lucro real - Incidência cumulativa de PIS e COFINS",'Dados da empresa'!$C$15="Sim"),-ROUND((ROUND(VLOOKUP($B48,'Dados da empresa'!$B$26:$C$47,MATCH($J$4,'Dados da empresa'!$B$26:$C$26,0),FALSE)* 'Dados de custos'!$C$6*2,2)+ROUND(-'Dados de custos'!$D$12*0.06,2))*0.0925,2),0)</f>
        <v>200.98</v>
      </c>
      <c r="K48" s="233">
        <f>'Dados de custos'!$D$20+'Dados de custos'!$D$26+'Dados de custos'!$D$29+'Dados de custos'!$D$32+'Dados de custos'!$D$35+'Dados de custos'!$D$36</f>
        <v>0</v>
      </c>
      <c r="L48" s="233">
        <f>'Dados de custos'!$D$38</f>
        <v>0</v>
      </c>
      <c r="M48" s="233">
        <f>'Dados de custos'!$D$44</f>
        <v>0</v>
      </c>
      <c r="N48" s="234" t="e">
        <f>ROUND(VLOOKUP($B48,'Dados da empresa'!$B$26:$E$47,MATCH($N$4,'Dados da empresa'!$B$26:$E$26,0),FALSE)*(M48+L48+K48+J48+I48),2)</f>
        <v>#VALUE!</v>
      </c>
      <c r="R48" s="259"/>
    </row>
    <row r="49" spans="2:14" x14ac:dyDescent="0.3">
      <c r="B49" s="223" t="s">
        <v>104</v>
      </c>
      <c r="C49" s="224" t="s">
        <v>158</v>
      </c>
      <c r="D49" s="225" t="s">
        <v>81</v>
      </c>
      <c r="E49" s="244">
        <f>VLOOKUP(B49,'Elem. de fachada + Jard.'!$B$4:$K$24,MATCH('Orçam. analítico'!C49,'Elem. de fachada + Jard.'!$B$3:$K$3,0),0)</f>
        <v>45.95</v>
      </c>
      <c r="F49" s="227" t="e">
        <f>VLOOKUP(C49,'Dados de custos'!$B$56:$E$64,4,0)*(1+VLOOKUP(B49,'Dados da empresa'!$B$27:$E$47,MATCH("BDI",'Dados da empresa'!$B$26:$E$26,0)))</f>
        <v>#VALUE!</v>
      </c>
      <c r="G49" s="227" t="e">
        <f t="shared" si="4"/>
        <v>#VALUE!</v>
      </c>
      <c r="H49" s="227" t="e">
        <f>G49*'Dados de custos'!$C$7</f>
        <v>#VALUE!</v>
      </c>
      <c r="I49" s="229" t="s">
        <v>1</v>
      </c>
      <c r="J49" s="227" t="s">
        <v>1</v>
      </c>
      <c r="K49" s="227" t="s">
        <v>1</v>
      </c>
      <c r="L49" s="227" t="s">
        <v>1</v>
      </c>
      <c r="M49" s="227" t="s">
        <v>1</v>
      </c>
      <c r="N49" s="228" t="s">
        <v>1</v>
      </c>
    </row>
    <row r="50" spans="2:14" x14ac:dyDescent="0.3">
      <c r="B50" s="230" t="s">
        <v>104</v>
      </c>
      <c r="C50" s="231" t="s">
        <v>159</v>
      </c>
      <c r="D50" s="207" t="s">
        <v>81</v>
      </c>
      <c r="E50" s="232">
        <f>VLOOKUP(B50,'Elem. de fachada + Jard.'!$B$4:$K$24,MATCH('Orçam. analítico'!C50,'Elem. de fachada + Jard.'!$B$3:$K$3,0),0)</f>
        <v>76.209999999999994</v>
      </c>
      <c r="F50" s="233" t="e">
        <f>VLOOKUP(C50,'Dados de custos'!$B$56:$E$64,4,0)*(1+VLOOKUP(B50,'Dados da empresa'!$B$27:$E$47,MATCH("BDI",'Dados da empresa'!$B$26:$E$26,0)))</f>
        <v>#VALUE!</v>
      </c>
      <c r="G50" s="233" t="e">
        <f t="shared" si="4"/>
        <v>#VALUE!</v>
      </c>
      <c r="H50" s="233" t="e">
        <f>G50*'Dados de custos'!$C$7</f>
        <v>#VALUE!</v>
      </c>
      <c r="I50" s="243" t="s">
        <v>1</v>
      </c>
      <c r="J50" s="233" t="s">
        <v>1</v>
      </c>
      <c r="K50" s="233" t="s">
        <v>1</v>
      </c>
      <c r="L50" s="233" t="s">
        <v>1</v>
      </c>
      <c r="M50" s="233" t="s">
        <v>1</v>
      </c>
      <c r="N50" s="234" t="s">
        <v>1</v>
      </c>
    </row>
    <row r="51" spans="2:14" ht="13.8" thickBot="1" x14ac:dyDescent="0.35">
      <c r="B51" s="252" t="s">
        <v>104</v>
      </c>
      <c r="C51" s="253" t="s">
        <v>6</v>
      </c>
      <c r="D51" s="254" t="s">
        <v>81</v>
      </c>
      <c r="E51" s="255">
        <f>VLOOKUP(B51,'Elem. de fachada + Jard.'!$B$4:$K$24,MATCH('Orçam. analítico'!C51,'Elem. de fachada + Jard.'!$B$3:$K$3,0),0)</f>
        <v>212.01999999999998</v>
      </c>
      <c r="F51" s="256" t="e">
        <f>VLOOKUP(C51,'Dados de custos'!$B$56:$E$64,4,0)*(1+VLOOKUP(B51,'Dados da empresa'!$B$27:$E$47,MATCH("BDI",'Dados da empresa'!$B$26:$E$26,0)))</f>
        <v>#VALUE!</v>
      </c>
      <c r="G51" s="256" t="e">
        <f t="shared" si="4"/>
        <v>#VALUE!</v>
      </c>
      <c r="H51" s="256" t="e">
        <f>G51*'Dados de custos'!$C$7</f>
        <v>#VALUE!</v>
      </c>
      <c r="I51" s="258" t="s">
        <v>1</v>
      </c>
      <c r="J51" s="256" t="s">
        <v>1</v>
      </c>
      <c r="K51" s="256" t="s">
        <v>1</v>
      </c>
      <c r="L51" s="256" t="s">
        <v>1</v>
      </c>
      <c r="M51" s="256" t="s">
        <v>1</v>
      </c>
      <c r="N51" s="257" t="s">
        <v>1</v>
      </c>
    </row>
    <row r="52" spans="2:14" x14ac:dyDescent="0.3">
      <c r="B52" s="216" t="s">
        <v>92</v>
      </c>
      <c r="C52" s="217" t="s">
        <v>85</v>
      </c>
      <c r="D52" s="218" t="s">
        <v>80</v>
      </c>
      <c r="E52" s="219">
        <f>VLOOKUP(B52,Postos!$B$4:$E$24,MATCH('Orçam. analítico'!C52,Postos!$B$3:$E$3,0),0)</f>
        <v>1</v>
      </c>
      <c r="F52" s="220" t="e">
        <f>I52+J52+K52+L52+M52+N52</f>
        <v>#VALUE!</v>
      </c>
      <c r="G52" s="220" t="e">
        <f t="shared" si="4"/>
        <v>#VALUE!</v>
      </c>
      <c r="H52" s="220" t="e">
        <f>G52*'Dados de custos'!$C$7</f>
        <v>#VALUE!</v>
      </c>
      <c r="I52" s="222">
        <f>INDEX('Dados de custos'!$C$11:$G$11,MATCH('Orçam. analítico'!C52,'Dados de custos'!$C$10:$G$10,0))</f>
        <v>0</v>
      </c>
      <c r="J52" s="220">
        <f>ROUND(VLOOKUP($B52,'Dados da empresa'!$B$26:$C$47,MATCH($J$4,'Dados da empresa'!$B$26:$C$26,0),FALSE)*'Dados de custos'!$C$6*2,2)+ROUND(-'Dados de custos'!$C$12*0.06,2)+IF(AND('Dados da empresa'!$C$14="Lucro real - Incidência cumulativa de PIS e COFINS",'Dados da empresa'!$C$15="Sim"),-ROUND((ROUND(VLOOKUP($B52,'Dados da empresa'!$B$26:$C$47,MATCH($J$4,'Dados da empresa'!$B$26:$C$26,0),FALSE)* 'Dados de custos'!$C$6*2,2)+ROUND(-'Dados de custos'!$C$12*0.06,2))*0.0925,2),0)</f>
        <v>289.22000000000003</v>
      </c>
      <c r="K52" s="220">
        <f>'Dados de custos'!$C$20+'Dados de custos'!$C$26+'Dados de custos'!$C$29+'Dados de custos'!$C$32+'Dados de custos'!$C$35+'Dados de custos'!$C$36</f>
        <v>0</v>
      </c>
      <c r="L52" s="220">
        <f>'Dados de custos'!$C$38</f>
        <v>0</v>
      </c>
      <c r="M52" s="220">
        <f>'Dados de custos'!$C$44</f>
        <v>0</v>
      </c>
      <c r="N52" s="221" t="e">
        <f>ROUND(VLOOKUP($B52,'Dados da empresa'!$B$26:$E$47,MATCH($N$4,'Dados da empresa'!$B$26:$E$26,0),FALSE)*(M52+L52+K52+J52+I52),2)</f>
        <v>#VALUE!</v>
      </c>
    </row>
    <row r="53" spans="2:14" x14ac:dyDescent="0.3">
      <c r="B53" s="223" t="s">
        <v>92</v>
      </c>
      <c r="C53" s="224" t="s">
        <v>77</v>
      </c>
      <c r="D53" s="225" t="s">
        <v>80</v>
      </c>
      <c r="E53" s="226">
        <f>VLOOKUP(B53,Postos!$B$4:$E$24,MATCH('Orçam. analítico'!C53,Postos!$B$3:$E$3,0),0)</f>
        <v>1</v>
      </c>
      <c r="F53" s="227" t="e">
        <f>I53+J53+K53+L53+M53+N53</f>
        <v>#VALUE!</v>
      </c>
      <c r="G53" s="227" t="e">
        <f t="shared" si="4"/>
        <v>#VALUE!</v>
      </c>
      <c r="H53" s="227" t="e">
        <f>G53*'Dados de custos'!$C$7</f>
        <v>#VALUE!</v>
      </c>
      <c r="I53" s="229">
        <f>INDEX('Dados de custos'!$C$11:$G$11,MATCH('Orçam. analítico'!C53,'Dados de custos'!$C$10:$G$10,0))</f>
        <v>0</v>
      </c>
      <c r="J53" s="227">
        <f>ROUND(VLOOKUP($B53,'Dados da empresa'!$B$26:$C$47,MATCH($J$4,'Dados da empresa'!$B$26:$C$26,0),FALSE)*'Dados de custos'!$C$6*2,2)+ROUND(-'Dados de custos'!$D$12*0.06,2)+IF(AND('Dados da empresa'!$C$14="Lucro real - Incidência cumulativa de PIS e COFINS",'Dados da empresa'!$C$15="Sim"),-ROUND((ROUND(VLOOKUP($B53,'Dados da empresa'!$B$26:$C$47,MATCH($J$4,'Dados da empresa'!$B$26:$C$26,0),FALSE)* 'Dados de custos'!$C$6*2,2)+ROUND(-'Dados de custos'!$D$12*0.06,2))*0.0925,2),0)</f>
        <v>289.22000000000003</v>
      </c>
      <c r="K53" s="227">
        <f>'Dados de custos'!$D$20+'Dados de custos'!$D$26+'Dados de custos'!$D$29+'Dados de custos'!$D$32+'Dados de custos'!$D$35+'Dados de custos'!$D$36</f>
        <v>0</v>
      </c>
      <c r="L53" s="227">
        <f>'Dados de custos'!$D$38</f>
        <v>0</v>
      </c>
      <c r="M53" s="227">
        <f>'Dados de custos'!$D$44</f>
        <v>0</v>
      </c>
      <c r="N53" s="228" t="e">
        <f>ROUND(VLOOKUP($B53,'Dados da empresa'!$B$26:$E$47,MATCH($N$4,'Dados da empresa'!$B$26:$E$26,0),FALSE)*(M53+L53+K53+J53+I53),2)</f>
        <v>#VALUE!</v>
      </c>
    </row>
    <row r="54" spans="2:14" x14ac:dyDescent="0.3">
      <c r="B54" s="230" t="s">
        <v>92</v>
      </c>
      <c r="C54" s="231" t="s">
        <v>158</v>
      </c>
      <c r="D54" s="207" t="s">
        <v>81</v>
      </c>
      <c r="E54" s="232">
        <f>VLOOKUP(B54,'Elem. de fachada + Jard.'!$B$4:$K$24,MATCH('Orçam. analítico'!C54,'Elem. de fachada + Jard.'!$B$3:$K$3,0),0)</f>
        <v>68.650000000000006</v>
      </c>
      <c r="F54" s="233" t="e">
        <f>VLOOKUP(C54,'Dados de custos'!$B$56:$E$64,4,0)*(1+VLOOKUP(B54,'Dados da empresa'!$B$27:$E$47,MATCH("BDI",'Dados da empresa'!$B$26:$E$26,0)))</f>
        <v>#VALUE!</v>
      </c>
      <c r="G54" s="233" t="e">
        <f t="shared" si="4"/>
        <v>#VALUE!</v>
      </c>
      <c r="H54" s="233" t="e">
        <f>G54*'Dados de custos'!$C$7</f>
        <v>#VALUE!</v>
      </c>
      <c r="I54" s="235" t="s">
        <v>1</v>
      </c>
      <c r="J54" s="233" t="s">
        <v>1</v>
      </c>
      <c r="K54" s="233" t="s">
        <v>1</v>
      </c>
      <c r="L54" s="233" t="s">
        <v>1</v>
      </c>
      <c r="M54" s="233" t="s">
        <v>1</v>
      </c>
      <c r="N54" s="234" t="s">
        <v>1</v>
      </c>
    </row>
    <row r="55" spans="2:14" x14ac:dyDescent="0.3">
      <c r="B55" s="223" t="s">
        <v>92</v>
      </c>
      <c r="C55" s="224" t="s">
        <v>159</v>
      </c>
      <c r="D55" s="225" t="s">
        <v>81</v>
      </c>
      <c r="E55" s="244">
        <f>VLOOKUP(B55,'Elem. de fachada + Jard.'!$B$4:$K$24,MATCH('Orçam. analítico'!C55,'Elem. de fachada + Jard.'!$B$3:$K$3,0),0)</f>
        <v>95.46</v>
      </c>
      <c r="F55" s="227" t="e">
        <f>VLOOKUP(C55,'Dados de custos'!$B$56:$E$64,4,0)*(1+VLOOKUP(B55,'Dados da empresa'!$B$27:$E$47,MATCH("BDI",'Dados da empresa'!$B$26:$E$26,0)))</f>
        <v>#VALUE!</v>
      </c>
      <c r="G55" s="227" t="e">
        <f t="shared" si="4"/>
        <v>#VALUE!</v>
      </c>
      <c r="H55" s="227" t="e">
        <f>G55*'Dados de custos'!$C$7</f>
        <v>#VALUE!</v>
      </c>
      <c r="I55" s="229" t="s">
        <v>1</v>
      </c>
      <c r="J55" s="227" t="s">
        <v>1</v>
      </c>
      <c r="K55" s="227" t="s">
        <v>1</v>
      </c>
      <c r="L55" s="227" t="s">
        <v>1</v>
      </c>
      <c r="M55" s="227" t="s">
        <v>1</v>
      </c>
      <c r="N55" s="228" t="s">
        <v>1</v>
      </c>
    </row>
    <row r="56" spans="2:14" ht="13.8" thickBot="1" x14ac:dyDescent="0.35">
      <c r="B56" s="236" t="s">
        <v>92</v>
      </c>
      <c r="C56" s="237" t="s">
        <v>6</v>
      </c>
      <c r="D56" s="208" t="s">
        <v>81</v>
      </c>
      <c r="E56" s="238">
        <f>VLOOKUP(B56,'Elem. de fachada + Jard.'!$B$4:$K$24,MATCH('Orçam. analítico'!C56,'Elem. de fachada + Jard.'!$B$3:$K$3,0),0)</f>
        <v>671.8</v>
      </c>
      <c r="F56" s="239" t="e">
        <f>VLOOKUP(C56,'Dados de custos'!$B$56:$E$64,4,0)*(1+VLOOKUP(B56,'Dados da empresa'!$B$27:$E$47,MATCH("BDI",'Dados da empresa'!$B$26:$E$26,0)))</f>
        <v>#VALUE!</v>
      </c>
      <c r="G56" s="239" t="e">
        <f t="shared" si="4"/>
        <v>#VALUE!</v>
      </c>
      <c r="H56" s="239" t="e">
        <f>G56*'Dados de custos'!$C$7</f>
        <v>#VALUE!</v>
      </c>
      <c r="I56" s="241" t="s">
        <v>1</v>
      </c>
      <c r="J56" s="239" t="s">
        <v>1</v>
      </c>
      <c r="K56" s="239" t="s">
        <v>1</v>
      </c>
      <c r="L56" s="239" t="s">
        <v>1</v>
      </c>
      <c r="M56" s="239" t="s">
        <v>1</v>
      </c>
      <c r="N56" s="240" t="s">
        <v>1</v>
      </c>
    </row>
    <row r="57" spans="2:14" x14ac:dyDescent="0.3">
      <c r="B57" s="245" t="s">
        <v>93</v>
      </c>
      <c r="C57" s="246" t="s">
        <v>85</v>
      </c>
      <c r="D57" s="247" t="s">
        <v>80</v>
      </c>
      <c r="E57" s="248">
        <f>VLOOKUP(B57,Postos!$B$4:$E$24,MATCH('Orçam. analítico'!C57,Postos!$B$3:$E$3,0),0)</f>
        <v>2</v>
      </c>
      <c r="F57" s="249" t="e">
        <f>I57+J57+K57+L57+M57+N57</f>
        <v>#VALUE!</v>
      </c>
      <c r="G57" s="249" t="e">
        <f t="shared" si="4"/>
        <v>#VALUE!</v>
      </c>
      <c r="H57" s="249" t="e">
        <f>G57*'Dados de custos'!$C$7</f>
        <v>#VALUE!</v>
      </c>
      <c r="I57" s="251">
        <f>INDEX('Dados de custos'!$C$11:$G$11,MATCH('Orçam. analítico'!C57,'Dados de custos'!$C$10:$G$10,0))</f>
        <v>0</v>
      </c>
      <c r="J57" s="249">
        <f>ROUND(VLOOKUP($B57,'Dados da empresa'!$B$26:$C$47,MATCH($J$4,'Dados da empresa'!$B$26:$C$26,0),FALSE)*'Dados de custos'!$C$6*2,2)+ROUND(-'Dados de custos'!$C$12*0.06,2)+IF(AND('Dados da empresa'!$C$14="Lucro real - Incidência cumulativa de PIS e COFINS",'Dados da empresa'!$C$15="Sim"),-ROUND((ROUND(VLOOKUP($B57,'Dados da empresa'!$B$26:$C$47,MATCH($J$4,'Dados da empresa'!$B$26:$C$26,0),FALSE)* 'Dados de custos'!$C$6*2,2)+ROUND(-'Dados de custos'!$C$12*0.06,2))*0.0925,2),0)</f>
        <v>196.08</v>
      </c>
      <c r="K57" s="249">
        <f>'Dados de custos'!$C$20+'Dados de custos'!$C$26+'Dados de custos'!$C$29+'Dados de custos'!$C$32+'Dados de custos'!$C$35+'Dados de custos'!$C$36</f>
        <v>0</v>
      </c>
      <c r="L57" s="249">
        <f>'Dados de custos'!$C$38</f>
        <v>0</v>
      </c>
      <c r="M57" s="249">
        <f>'Dados de custos'!$C$44</f>
        <v>0</v>
      </c>
      <c r="N57" s="250" t="e">
        <f>ROUND(VLOOKUP($B57,'Dados da empresa'!$B$26:$E$47,MATCH($N$4,'Dados da empresa'!$B$26:$E$26,0),FALSE)*(M57+L57+K57+J57+I57),2)</f>
        <v>#VALUE!</v>
      </c>
    </row>
    <row r="58" spans="2:14" x14ac:dyDescent="0.3">
      <c r="B58" s="230" t="s">
        <v>93</v>
      </c>
      <c r="C58" s="231" t="s">
        <v>77</v>
      </c>
      <c r="D58" s="207" t="s">
        <v>80</v>
      </c>
      <c r="E58" s="242">
        <f>VLOOKUP(B58,Postos!$B$4:$E$24,MATCH('Orçam. analítico'!C58,Postos!$B$3:$E$3,0),0)</f>
        <v>1</v>
      </c>
      <c r="F58" s="233" t="e">
        <f>I58+J58+K58+L58+M58+N58</f>
        <v>#VALUE!</v>
      </c>
      <c r="G58" s="233" t="e">
        <f t="shared" si="4"/>
        <v>#VALUE!</v>
      </c>
      <c r="H58" s="233" t="e">
        <f>G58*'Dados de custos'!$C$7</f>
        <v>#VALUE!</v>
      </c>
      <c r="I58" s="229">
        <f>INDEX('Dados de custos'!$C$11:$G$11,MATCH('Orçam. analítico'!C58,'Dados de custos'!$C$10:$G$10,0))</f>
        <v>0</v>
      </c>
      <c r="J58" s="227">
        <f>ROUND(VLOOKUP($B58,'Dados da empresa'!$B$26:$C$47,MATCH($J$4,'Dados da empresa'!$B$26:$C$26,0),FALSE)*'Dados de custos'!$C$6*2,2)+ROUND(-'Dados de custos'!$D$12*0.06,2)+IF(AND('Dados da empresa'!$C$14="Lucro real - Incidência cumulativa de PIS e COFINS",'Dados da empresa'!$C$15="Sim"),-ROUND((ROUND(VLOOKUP($B58,'Dados da empresa'!$B$26:$C$47,MATCH($J$4,'Dados da empresa'!$B$26:$C$26,0),FALSE)* 'Dados de custos'!$C$6*2,2)+ROUND(-'Dados de custos'!$D$12*0.06,2))*0.0925,2),0)</f>
        <v>196.08</v>
      </c>
      <c r="K58" s="227">
        <f>'Dados de custos'!$D$20+'Dados de custos'!$D$26+'Dados de custos'!$D$29+'Dados de custos'!$D$32+'Dados de custos'!$D$35+'Dados de custos'!$D$36</f>
        <v>0</v>
      </c>
      <c r="L58" s="227">
        <f>'Dados de custos'!$D$38</f>
        <v>0</v>
      </c>
      <c r="M58" s="227">
        <f>'Dados de custos'!$D$44</f>
        <v>0</v>
      </c>
      <c r="N58" s="228" t="e">
        <f>ROUND(VLOOKUP($B58,'Dados da empresa'!$B$26:$E$47,MATCH($N$4,'Dados da empresa'!$B$26:$E$26,0),FALSE)*(M58+L58+K58+J58+I58),2)</f>
        <v>#VALUE!</v>
      </c>
    </row>
    <row r="59" spans="2:14" x14ac:dyDescent="0.3">
      <c r="B59" s="223" t="s">
        <v>93</v>
      </c>
      <c r="C59" s="224" t="s">
        <v>158</v>
      </c>
      <c r="D59" s="225" t="s">
        <v>81</v>
      </c>
      <c r="E59" s="244">
        <f>VLOOKUP(B59,'Elem. de fachada + Jard.'!$B$4:$K$24,MATCH('Orçam. analítico'!C59,'Elem. de fachada + Jard.'!$B$3:$K$3,0),0)</f>
        <v>171.52</v>
      </c>
      <c r="F59" s="227" t="e">
        <f>VLOOKUP(C59,'Dados de custos'!$B$56:$E$64,4,0)*(1+VLOOKUP(B59,'Dados da empresa'!$B$27:$E$47,MATCH("BDI",'Dados da empresa'!$B$26:$E$26,0)))</f>
        <v>#VALUE!</v>
      </c>
      <c r="G59" s="227" t="e">
        <f t="shared" si="4"/>
        <v>#VALUE!</v>
      </c>
      <c r="H59" s="227" t="e">
        <f>G59*'Dados de custos'!$C$7</f>
        <v>#VALUE!</v>
      </c>
      <c r="I59" s="229" t="s">
        <v>1</v>
      </c>
      <c r="J59" s="227" t="s">
        <v>1</v>
      </c>
      <c r="K59" s="227" t="s">
        <v>1</v>
      </c>
      <c r="L59" s="227" t="s">
        <v>1</v>
      </c>
      <c r="M59" s="227" t="s">
        <v>1</v>
      </c>
      <c r="N59" s="228" t="s">
        <v>1</v>
      </c>
    </row>
    <row r="60" spans="2:14" x14ac:dyDescent="0.3">
      <c r="B60" s="230" t="s">
        <v>93</v>
      </c>
      <c r="C60" s="231" t="s">
        <v>159</v>
      </c>
      <c r="D60" s="207" t="s">
        <v>81</v>
      </c>
      <c r="E60" s="232">
        <f>VLOOKUP(B60,'Elem. de fachada + Jard.'!$B$4:$K$24,MATCH('Orçam. analítico'!C60,'Elem. de fachada + Jard.'!$B$3:$K$3,0),0)</f>
        <v>198.45</v>
      </c>
      <c r="F60" s="233" t="e">
        <f>VLOOKUP(C60,'Dados de custos'!$B$56:$E$64,4,0)*(1+VLOOKUP(B60,'Dados da empresa'!$B$27:$E$47,MATCH("BDI",'Dados da empresa'!$B$26:$E$26,0)))</f>
        <v>#VALUE!</v>
      </c>
      <c r="G60" s="233" t="e">
        <f t="shared" si="4"/>
        <v>#VALUE!</v>
      </c>
      <c r="H60" s="233" t="e">
        <f>G60*'Dados de custos'!$C$7</f>
        <v>#VALUE!</v>
      </c>
      <c r="I60" s="243" t="s">
        <v>1</v>
      </c>
      <c r="J60" s="233" t="s">
        <v>1</v>
      </c>
      <c r="K60" s="233" t="s">
        <v>1</v>
      </c>
      <c r="L60" s="233" t="s">
        <v>1</v>
      </c>
      <c r="M60" s="233" t="s">
        <v>1</v>
      </c>
      <c r="N60" s="234" t="s">
        <v>1</v>
      </c>
    </row>
    <row r="61" spans="2:14" x14ac:dyDescent="0.3">
      <c r="B61" s="223" t="s">
        <v>93</v>
      </c>
      <c r="C61" s="224" t="s">
        <v>73</v>
      </c>
      <c r="D61" s="225" t="s">
        <v>81</v>
      </c>
      <c r="E61" s="244">
        <f>VLOOKUP(B61,'Elem. de fachada + Jard.'!$B$4:$K$24,MATCH('Orçam. analítico'!C61,'Elem. de fachada + Jard.'!$B$3:$K$3,0),0)</f>
        <v>61.87</v>
      </c>
      <c r="F61" s="227" t="e">
        <f>VLOOKUP(C61,'Dados de custos'!$B$56:$E$64,4,0)*(1+VLOOKUP(B61,'Dados da empresa'!$B$27:$E$47,MATCH("BDI",'Dados da empresa'!$B$26:$E$26,0)))</f>
        <v>#VALUE!</v>
      </c>
      <c r="G61" s="227" t="e">
        <f t="shared" si="4"/>
        <v>#VALUE!</v>
      </c>
      <c r="H61" s="227" t="e">
        <f>G61*'Dados de custos'!$C$7</f>
        <v>#VALUE!</v>
      </c>
      <c r="I61" s="229" t="s">
        <v>1</v>
      </c>
      <c r="J61" s="227" t="s">
        <v>1</v>
      </c>
      <c r="K61" s="227" t="s">
        <v>1</v>
      </c>
      <c r="L61" s="227" t="s">
        <v>1</v>
      </c>
      <c r="M61" s="227" t="s">
        <v>1</v>
      </c>
      <c r="N61" s="228" t="s">
        <v>1</v>
      </c>
    </row>
    <row r="62" spans="2:14" x14ac:dyDescent="0.3">
      <c r="B62" s="230" t="s">
        <v>93</v>
      </c>
      <c r="C62" s="231" t="s">
        <v>74</v>
      </c>
      <c r="D62" s="207" t="s">
        <v>81</v>
      </c>
      <c r="E62" s="232">
        <f>VLOOKUP(B62,'Elem. de fachada + Jard.'!$B$4:$K$24,MATCH('Orçam. analítico'!C62,'Elem. de fachada + Jard.'!$B$3:$K$3,0),0)</f>
        <v>46.7</v>
      </c>
      <c r="F62" s="233" t="e">
        <f>VLOOKUP(C62,'Dados de custos'!$B$56:$E$64,4,0)*(1+VLOOKUP(B62,'Dados da empresa'!$B$27:$E$47,MATCH("BDI",'Dados da empresa'!$B$26:$E$26,0)))</f>
        <v>#VALUE!</v>
      </c>
      <c r="G62" s="233" t="e">
        <f t="shared" si="4"/>
        <v>#VALUE!</v>
      </c>
      <c r="H62" s="233" t="e">
        <f>G62*'Dados de custos'!$C$7</f>
        <v>#VALUE!</v>
      </c>
      <c r="I62" s="243" t="s">
        <v>1</v>
      </c>
      <c r="J62" s="233" t="s">
        <v>1</v>
      </c>
      <c r="K62" s="233" t="s">
        <v>1</v>
      </c>
      <c r="L62" s="233" t="s">
        <v>1</v>
      </c>
      <c r="M62" s="233" t="s">
        <v>1</v>
      </c>
      <c r="N62" s="234" t="s">
        <v>1</v>
      </c>
    </row>
    <row r="63" spans="2:14" ht="13.8" thickBot="1" x14ac:dyDescent="0.35">
      <c r="B63" s="252" t="s">
        <v>93</v>
      </c>
      <c r="C63" s="253" t="s">
        <v>6</v>
      </c>
      <c r="D63" s="254" t="s">
        <v>81</v>
      </c>
      <c r="E63" s="255">
        <f>VLOOKUP(B63,'Elem. de fachada + Jard.'!$B$4:$K$24,MATCH('Orçam. analítico'!C63,'Elem. de fachada + Jard.'!$B$3:$K$3,0),0)</f>
        <v>485.90999999999997</v>
      </c>
      <c r="F63" s="256" t="e">
        <f>VLOOKUP(C63,'Dados de custos'!$B$56:$E$64,4,0)*(1+VLOOKUP(B63,'Dados da empresa'!$B$27:$E$47,MATCH("BDI",'Dados da empresa'!$B$26:$E$26,0)))</f>
        <v>#VALUE!</v>
      </c>
      <c r="G63" s="256" t="e">
        <f t="shared" si="4"/>
        <v>#VALUE!</v>
      </c>
      <c r="H63" s="256" t="e">
        <f>G63*'Dados de custos'!$C$7</f>
        <v>#VALUE!</v>
      </c>
      <c r="I63" s="258" t="s">
        <v>1</v>
      </c>
      <c r="J63" s="256" t="s">
        <v>1</v>
      </c>
      <c r="K63" s="256" t="s">
        <v>1</v>
      </c>
      <c r="L63" s="256" t="s">
        <v>1</v>
      </c>
      <c r="M63" s="256" t="s">
        <v>1</v>
      </c>
      <c r="N63" s="257" t="s">
        <v>1</v>
      </c>
    </row>
    <row r="64" spans="2:14" x14ac:dyDescent="0.3">
      <c r="B64" s="216" t="s">
        <v>94</v>
      </c>
      <c r="C64" s="217" t="s">
        <v>85</v>
      </c>
      <c r="D64" s="218" t="s">
        <v>80</v>
      </c>
      <c r="E64" s="219">
        <f>VLOOKUP(B64,Postos!$B$4:$E$24,MATCH('Orçam. analítico'!C64,Postos!$B$3:$E$3,0),0)</f>
        <v>2</v>
      </c>
      <c r="F64" s="220" t="e">
        <f>I64+J64+K64+L64+M64+N64</f>
        <v>#VALUE!</v>
      </c>
      <c r="G64" s="220" t="e">
        <f t="shared" si="4"/>
        <v>#VALUE!</v>
      </c>
      <c r="H64" s="220" t="e">
        <f>G64*'Dados de custos'!$C$7</f>
        <v>#VALUE!</v>
      </c>
      <c r="I64" s="222">
        <f>INDEX('Dados de custos'!$C$11:$G$11,MATCH('Orçam. analítico'!C64,'Dados de custos'!$C$10:$G$10,0))</f>
        <v>0</v>
      </c>
      <c r="J64" s="220">
        <f>ROUND(VLOOKUP($B64,'Dados da empresa'!$B$26:$C$47,MATCH($J$4,'Dados da empresa'!$B$26:$C$26,0),FALSE)*'Dados de custos'!$C$6*2,2)+ROUND(-'Dados de custos'!$C$12*0.06,2)+IF(AND('Dados da empresa'!$C$14="Lucro real - Incidência cumulativa de PIS e COFINS",'Dados da empresa'!$C$15="Sim"),-ROUND((ROUND(VLOOKUP($B64,'Dados da empresa'!$B$26:$C$47,MATCH($J$4,'Dados da empresa'!$B$26:$C$26,0),FALSE)* 'Dados de custos'!$C$6*2,2)+ROUND(-'Dados de custos'!$C$12*0.06,2))*0.0925,2),0)</f>
        <v>125</v>
      </c>
      <c r="K64" s="220">
        <f>'Dados de custos'!$C$20+'Dados de custos'!$C$26+'Dados de custos'!$C$29+'Dados de custos'!$C$32+'Dados de custos'!$C$35+'Dados de custos'!$C$36</f>
        <v>0</v>
      </c>
      <c r="L64" s="220">
        <f>'Dados de custos'!$C$38</f>
        <v>0</v>
      </c>
      <c r="M64" s="220">
        <f>'Dados de custos'!$C$44</f>
        <v>0</v>
      </c>
      <c r="N64" s="221" t="e">
        <f>ROUND(VLOOKUP($B64,'Dados da empresa'!$B$26:$E$47,MATCH($N$4,'Dados da empresa'!$B$26:$E$26,0),FALSE)*(M64+L64+K64+J64+I64),2)</f>
        <v>#VALUE!</v>
      </c>
    </row>
    <row r="65" spans="2:14" x14ac:dyDescent="0.3">
      <c r="B65" s="223" t="s">
        <v>94</v>
      </c>
      <c r="C65" s="224" t="s">
        <v>77</v>
      </c>
      <c r="D65" s="225" t="s">
        <v>80</v>
      </c>
      <c r="E65" s="226">
        <f>VLOOKUP(B65,Postos!$B$4:$E$24,MATCH('Orçam. analítico'!C65,Postos!$B$3:$E$3,0),0)</f>
        <v>1</v>
      </c>
      <c r="F65" s="227" t="e">
        <f>I65+J65+K65+L65+M65+N65</f>
        <v>#VALUE!</v>
      </c>
      <c r="G65" s="227" t="e">
        <f t="shared" si="4"/>
        <v>#VALUE!</v>
      </c>
      <c r="H65" s="227" t="e">
        <f>G65*'Dados de custos'!$C$7</f>
        <v>#VALUE!</v>
      </c>
      <c r="I65" s="229">
        <f>INDEX('Dados de custos'!$C$11:$G$11,MATCH('Orçam. analítico'!C65,'Dados de custos'!$C$10:$G$10,0))</f>
        <v>0</v>
      </c>
      <c r="J65" s="227">
        <f>ROUND(VLOOKUP($B65,'Dados da empresa'!$B$26:$C$47,MATCH($J$4,'Dados da empresa'!$B$26:$C$26,0),FALSE)*'Dados de custos'!$C$6*2,2)+ROUND(-'Dados de custos'!$D$12*0.06,2)+IF(AND('Dados da empresa'!$C$14="Lucro real - Incidência cumulativa de PIS e COFINS",'Dados da empresa'!$C$15="Sim"),-ROUND((ROUND(VLOOKUP($B65,'Dados da empresa'!$B$26:$C$47,MATCH($J$4,'Dados da empresa'!$B$26:$C$26,0),FALSE)* 'Dados de custos'!$C$6*2,2)+ROUND(-'Dados de custos'!$D$12*0.06,2))*0.0925,2),0)</f>
        <v>125</v>
      </c>
      <c r="K65" s="227">
        <f>'Dados de custos'!$D$20+'Dados de custos'!$D$26+'Dados de custos'!$D$29+'Dados de custos'!$D$32+'Dados de custos'!$D$35+'Dados de custos'!$D$36</f>
        <v>0</v>
      </c>
      <c r="L65" s="227">
        <f>'Dados de custos'!$D$38</f>
        <v>0</v>
      </c>
      <c r="M65" s="227">
        <f>'Dados de custos'!$D$44</f>
        <v>0</v>
      </c>
      <c r="N65" s="228" t="e">
        <f>ROUND(VLOOKUP($B65,'Dados da empresa'!$B$26:$E$47,MATCH($N$4,'Dados da empresa'!$B$26:$E$26,0),FALSE)*(M65+L65+K65+J65+I65),2)</f>
        <v>#VALUE!</v>
      </c>
    </row>
    <row r="66" spans="2:14" x14ac:dyDescent="0.3">
      <c r="B66" s="230" t="s">
        <v>94</v>
      </c>
      <c r="C66" s="231" t="s">
        <v>158</v>
      </c>
      <c r="D66" s="207" t="s">
        <v>81</v>
      </c>
      <c r="E66" s="232">
        <f>VLOOKUP(B66,'Elem. de fachada + Jard.'!$B$4:$K$24,MATCH('Orçam. analítico'!C66,'Elem. de fachada + Jard.'!$B$3:$K$3,0),0)</f>
        <v>58.49</v>
      </c>
      <c r="F66" s="233" t="e">
        <f>VLOOKUP(C66,'Dados de custos'!$B$56:$E$64,4,0)*(1+VLOOKUP(B66,'Dados da empresa'!$B$27:$E$47,MATCH("BDI",'Dados da empresa'!$B$26:$E$26,0)))</f>
        <v>#VALUE!</v>
      </c>
      <c r="G66" s="233" t="e">
        <f t="shared" si="4"/>
        <v>#VALUE!</v>
      </c>
      <c r="H66" s="233" t="e">
        <f>G66*'Dados de custos'!$C$7</f>
        <v>#VALUE!</v>
      </c>
      <c r="I66" s="235" t="s">
        <v>1</v>
      </c>
      <c r="J66" s="233" t="s">
        <v>1</v>
      </c>
      <c r="K66" s="233" t="s">
        <v>1</v>
      </c>
      <c r="L66" s="233" t="s">
        <v>1</v>
      </c>
      <c r="M66" s="233" t="s">
        <v>1</v>
      </c>
      <c r="N66" s="234" t="s">
        <v>1</v>
      </c>
    </row>
    <row r="67" spans="2:14" x14ac:dyDescent="0.3">
      <c r="B67" s="223" t="s">
        <v>94</v>
      </c>
      <c r="C67" s="224" t="s">
        <v>159</v>
      </c>
      <c r="D67" s="225" t="s">
        <v>81</v>
      </c>
      <c r="E67" s="244">
        <f>VLOOKUP(B67,'Elem. de fachada + Jard.'!$B$4:$K$24,MATCH('Orçam. analítico'!C67,'Elem. de fachada + Jard.'!$B$3:$K$3,0),0)</f>
        <v>709.43</v>
      </c>
      <c r="F67" s="227" t="e">
        <f>VLOOKUP(C67,'Dados de custos'!$B$56:$E$64,4,0)*(1+VLOOKUP(B67,'Dados da empresa'!$B$27:$E$47,MATCH("BDI",'Dados da empresa'!$B$26:$E$26,0)))</f>
        <v>#VALUE!</v>
      </c>
      <c r="G67" s="227" t="e">
        <f t="shared" si="4"/>
        <v>#VALUE!</v>
      </c>
      <c r="H67" s="227" t="e">
        <f>G67*'Dados de custos'!$C$7</f>
        <v>#VALUE!</v>
      </c>
      <c r="I67" s="229" t="s">
        <v>1</v>
      </c>
      <c r="J67" s="227" t="s">
        <v>1</v>
      </c>
      <c r="K67" s="227" t="s">
        <v>1</v>
      </c>
      <c r="L67" s="227" t="s">
        <v>1</v>
      </c>
      <c r="M67" s="227" t="s">
        <v>1</v>
      </c>
      <c r="N67" s="228" t="s">
        <v>1</v>
      </c>
    </row>
    <row r="68" spans="2:14" ht="13.8" thickBot="1" x14ac:dyDescent="0.35">
      <c r="B68" s="236" t="s">
        <v>94</v>
      </c>
      <c r="C68" s="237" t="s">
        <v>6</v>
      </c>
      <c r="D68" s="208" t="s">
        <v>81</v>
      </c>
      <c r="E68" s="238">
        <f>VLOOKUP(B68,'Elem. de fachada + Jard.'!$B$4:$K$24,MATCH('Orçam. analítico'!C68,'Elem. de fachada + Jard.'!$B$3:$K$3,0),0)</f>
        <v>624.9</v>
      </c>
      <c r="F68" s="239" t="e">
        <f>VLOOKUP(C68,'Dados de custos'!$B$56:$E$64,4,0)*(1+VLOOKUP(B68,'Dados da empresa'!$B$27:$E$47,MATCH("BDI",'Dados da empresa'!$B$26:$E$26,0)))</f>
        <v>#VALUE!</v>
      </c>
      <c r="G68" s="239" t="e">
        <f t="shared" si="4"/>
        <v>#VALUE!</v>
      </c>
      <c r="H68" s="239" t="e">
        <f>G68*'Dados de custos'!$C$7</f>
        <v>#VALUE!</v>
      </c>
      <c r="I68" s="241" t="s">
        <v>1</v>
      </c>
      <c r="J68" s="239" t="s">
        <v>1</v>
      </c>
      <c r="K68" s="239" t="s">
        <v>1</v>
      </c>
      <c r="L68" s="239" t="s">
        <v>1</v>
      </c>
      <c r="M68" s="239" t="s">
        <v>1</v>
      </c>
      <c r="N68" s="240" t="s">
        <v>1</v>
      </c>
    </row>
    <row r="69" spans="2:14" x14ac:dyDescent="0.3">
      <c r="B69" s="223" t="s">
        <v>95</v>
      </c>
      <c r="C69" s="224" t="s">
        <v>77</v>
      </c>
      <c r="D69" s="225" t="s">
        <v>80</v>
      </c>
      <c r="E69" s="226">
        <f>VLOOKUP(B69,Postos!$B$4:$E$24,MATCH('Orçam. analítico'!C69,Postos!$B$3:$E$3,0),0)</f>
        <v>1</v>
      </c>
      <c r="F69" s="227" t="e">
        <f>I69+J69+K69+L69+M69+N69</f>
        <v>#VALUE!</v>
      </c>
      <c r="G69" s="227" t="e">
        <f t="shared" si="4"/>
        <v>#VALUE!</v>
      </c>
      <c r="H69" s="227" t="e">
        <f>G69*'Dados de custos'!$C$7</f>
        <v>#VALUE!</v>
      </c>
      <c r="I69" s="229">
        <f>INDEX('Dados de custos'!$C$11:$G$11,MATCH('Orçam. analítico'!C69,'Dados de custos'!$C$10:$G$10,0))</f>
        <v>0</v>
      </c>
      <c r="J69" s="227">
        <f>ROUND(VLOOKUP($B69,'Dados da empresa'!$B$26:$C$47,MATCH($J$4,'Dados da empresa'!$B$26:$C$26,0),FALSE)*'Dados de custos'!$C$6*2,2)+ROUND(-'Dados de custos'!$D$12*0.06,2)+IF(AND('Dados da empresa'!$C$14="Lucro real - Incidência cumulativa de PIS e COFINS",'Dados da empresa'!$C$15="Sim"),-ROUND((ROUND(VLOOKUP($B69,'Dados da empresa'!$B$26:$C$47,MATCH($J$4,'Dados da empresa'!$B$26:$C$26,0),FALSE)* 'Dados de custos'!$C$6*2,2)+ROUND(-'Dados de custos'!$D$12*0.06,2))*0.0925,2),0)</f>
        <v>166.67</v>
      </c>
      <c r="K69" s="227">
        <f>'Dados de custos'!$D$20+'Dados de custos'!$D$26+'Dados de custos'!$D$29+'Dados de custos'!$D$32+'Dados de custos'!$D$35+'Dados de custos'!$D$36</f>
        <v>0</v>
      </c>
      <c r="L69" s="227">
        <f>'Dados de custos'!$D$38</f>
        <v>0</v>
      </c>
      <c r="M69" s="227">
        <f>'Dados de custos'!$D$44</f>
        <v>0</v>
      </c>
      <c r="N69" s="228" t="e">
        <f>ROUND(VLOOKUP($B69,'Dados da empresa'!$B$26:$E$47,MATCH($N$4,'Dados da empresa'!$B$26:$E$26,0),FALSE)*(M69+L69+K69+J69+I69),2)</f>
        <v>#VALUE!</v>
      </c>
    </row>
    <row r="70" spans="2:14" x14ac:dyDescent="0.3">
      <c r="B70" s="230" t="s">
        <v>95</v>
      </c>
      <c r="C70" s="231" t="s">
        <v>158</v>
      </c>
      <c r="D70" s="207" t="s">
        <v>81</v>
      </c>
      <c r="E70" s="232">
        <f>VLOOKUP(B70,'Elem. de fachada + Jard.'!$B$4:$K$24,MATCH('Orçam. analítico'!C70,'Elem. de fachada + Jard.'!$B$3:$K$3,0),0)</f>
        <v>13.8</v>
      </c>
      <c r="F70" s="233" t="e">
        <f>VLOOKUP(C70,'Dados de custos'!$B$56:$E$64,4,0)*(1+VLOOKUP(B70,'Dados da empresa'!$B$27:$E$47,MATCH("BDI",'Dados da empresa'!$B$26:$E$26,0)))</f>
        <v>#VALUE!</v>
      </c>
      <c r="G70" s="233" t="e">
        <f t="shared" si="4"/>
        <v>#VALUE!</v>
      </c>
      <c r="H70" s="233" t="e">
        <f>G70*'Dados de custos'!$C$7</f>
        <v>#VALUE!</v>
      </c>
      <c r="I70" s="235" t="s">
        <v>1</v>
      </c>
      <c r="J70" s="233" t="s">
        <v>1</v>
      </c>
      <c r="K70" s="233" t="s">
        <v>1</v>
      </c>
      <c r="L70" s="233" t="s">
        <v>1</v>
      </c>
      <c r="M70" s="233" t="s">
        <v>1</v>
      </c>
      <c r="N70" s="234" t="s">
        <v>1</v>
      </c>
    </row>
    <row r="71" spans="2:14" x14ac:dyDescent="0.3">
      <c r="B71" s="223" t="s">
        <v>95</v>
      </c>
      <c r="C71" s="224" t="s">
        <v>159</v>
      </c>
      <c r="D71" s="225" t="s">
        <v>81</v>
      </c>
      <c r="E71" s="244">
        <f>VLOOKUP(B71,'Elem. de fachada + Jard.'!$B$4:$K$24,MATCH('Orçam. analítico'!C71,'Elem. de fachada + Jard.'!$B$3:$K$3,0),0)</f>
        <v>21.64</v>
      </c>
      <c r="F71" s="227" t="e">
        <f>VLOOKUP(C71,'Dados de custos'!$B$56:$E$64,4,0)*(1+VLOOKUP(B71,'Dados da empresa'!$B$27:$E$47,MATCH("BDI",'Dados da empresa'!$B$26:$E$26,0)))</f>
        <v>#VALUE!</v>
      </c>
      <c r="G71" s="227" t="e">
        <f t="shared" si="4"/>
        <v>#VALUE!</v>
      </c>
      <c r="H71" s="227" t="e">
        <f>G71*'Dados de custos'!$C$7</f>
        <v>#VALUE!</v>
      </c>
      <c r="I71" s="229" t="s">
        <v>1</v>
      </c>
      <c r="J71" s="227" t="s">
        <v>1</v>
      </c>
      <c r="K71" s="227" t="s">
        <v>1</v>
      </c>
      <c r="L71" s="227" t="s">
        <v>1</v>
      </c>
      <c r="M71" s="227" t="s">
        <v>1</v>
      </c>
      <c r="N71" s="228" t="s">
        <v>1</v>
      </c>
    </row>
    <row r="72" spans="2:14" ht="13.8" thickBot="1" x14ac:dyDescent="0.35">
      <c r="B72" s="236" t="s">
        <v>95</v>
      </c>
      <c r="C72" s="237" t="s">
        <v>6</v>
      </c>
      <c r="D72" s="208" t="s">
        <v>81</v>
      </c>
      <c r="E72" s="238">
        <f>VLOOKUP(B72,'Elem. de fachada + Jard.'!$B$4:$K$24,MATCH('Orçam. analítico'!C72,'Elem. de fachada + Jard.'!$B$3:$K$3,0),0)</f>
        <v>290.07</v>
      </c>
      <c r="F72" s="239" t="e">
        <f>VLOOKUP(C72,'Dados de custos'!$B$56:$E$64,4,0)*(1+VLOOKUP(B72,'Dados da empresa'!$B$27:$E$47,MATCH("BDI",'Dados da empresa'!$B$26:$E$26,0)))</f>
        <v>#VALUE!</v>
      </c>
      <c r="G72" s="239" t="e">
        <f t="shared" si="4"/>
        <v>#VALUE!</v>
      </c>
      <c r="H72" s="239" t="e">
        <f>G72*'Dados de custos'!$C$7</f>
        <v>#VALUE!</v>
      </c>
      <c r="I72" s="241" t="s">
        <v>1</v>
      </c>
      <c r="J72" s="239" t="s">
        <v>1</v>
      </c>
      <c r="K72" s="239" t="s">
        <v>1</v>
      </c>
      <c r="L72" s="239" t="s">
        <v>1</v>
      </c>
      <c r="M72" s="239" t="s">
        <v>1</v>
      </c>
      <c r="N72" s="240" t="s">
        <v>1</v>
      </c>
    </row>
    <row r="73" spans="2:14" x14ac:dyDescent="0.3">
      <c r="B73" s="245" t="s">
        <v>96</v>
      </c>
      <c r="C73" s="246" t="s">
        <v>85</v>
      </c>
      <c r="D73" s="247" t="s">
        <v>80</v>
      </c>
      <c r="E73" s="248">
        <f>VLOOKUP(B73,Postos!$B$4:$E$24,MATCH('Orçam. analítico'!C73,Postos!$B$3:$E$3,0),0)</f>
        <v>2</v>
      </c>
      <c r="F73" s="249" t="e">
        <f>I73+J73+K73+L73+M73+N73</f>
        <v>#VALUE!</v>
      </c>
      <c r="G73" s="249" t="e">
        <f t="shared" si="4"/>
        <v>#VALUE!</v>
      </c>
      <c r="H73" s="249" t="e">
        <f>G73*'Dados de custos'!$C$7</f>
        <v>#VALUE!</v>
      </c>
      <c r="I73" s="251">
        <f>INDEX('Dados de custos'!$C$11:$G$11,MATCH('Orçam. analítico'!C73,'Dados de custos'!$C$10:$G$10,0))</f>
        <v>0</v>
      </c>
      <c r="J73" s="249">
        <f>ROUND(VLOOKUP($B73,'Dados da empresa'!$B$26:$C$47,MATCH($J$4,'Dados da empresa'!$B$26:$C$26,0),FALSE)*'Dados de custos'!$C$6*2,2)+ROUND(-'Dados de custos'!$C$12*0.06,2)+IF(AND('Dados da empresa'!$C$14="Lucro real - Incidência cumulativa de PIS e COFINS",'Dados da empresa'!$C$15="Sim"),-ROUND((ROUND(VLOOKUP($B73,'Dados da empresa'!$B$26:$C$47,MATCH($J$4,'Dados da empresa'!$B$26:$C$26,0),FALSE)* 'Dados de custos'!$C$6*2,2)+ROUND(-'Dados de custos'!$C$12*0.06,2))*0.0925,2),0)</f>
        <v>245.1</v>
      </c>
      <c r="K73" s="249">
        <f>'Dados de custos'!$C$20+'Dados de custos'!$C$26+'Dados de custos'!$C$29+'Dados de custos'!$C$32+'Dados de custos'!$C$35+'Dados de custos'!$C$36</f>
        <v>0</v>
      </c>
      <c r="L73" s="249">
        <f>'Dados de custos'!$C$38</f>
        <v>0</v>
      </c>
      <c r="M73" s="249">
        <f>'Dados de custos'!$C$44</f>
        <v>0</v>
      </c>
      <c r="N73" s="250" t="e">
        <f>ROUND(VLOOKUP($B73,'Dados da empresa'!$B$26:$E$47,MATCH($N$4,'Dados da empresa'!$B$26:$E$26,0),FALSE)*(M73+L73+K73+J73+I73),2)</f>
        <v>#VALUE!</v>
      </c>
    </row>
    <row r="74" spans="2:14" x14ac:dyDescent="0.3">
      <c r="B74" s="230" t="s">
        <v>96</v>
      </c>
      <c r="C74" s="231" t="s">
        <v>77</v>
      </c>
      <c r="D74" s="207" t="s">
        <v>80</v>
      </c>
      <c r="E74" s="242">
        <f>VLOOKUP(B74,Postos!$B$4:$E$24,MATCH('Orçam. analítico'!C74,Postos!$B$3:$E$3,0),0)</f>
        <v>1</v>
      </c>
      <c r="F74" s="233" t="e">
        <f>I74+J74+K74+L74+M74+N74</f>
        <v>#VALUE!</v>
      </c>
      <c r="G74" s="233" t="e">
        <f t="shared" si="4"/>
        <v>#VALUE!</v>
      </c>
      <c r="H74" s="233" t="e">
        <f>G74*'Dados de custos'!$C$7</f>
        <v>#VALUE!</v>
      </c>
      <c r="I74" s="243">
        <f>INDEX('Dados de custos'!$C$11:$G$11,MATCH('Orçam. analítico'!C74,'Dados de custos'!$C$10:$G$10,0))</f>
        <v>0</v>
      </c>
      <c r="J74" s="233">
        <f>ROUND(VLOOKUP($B74,'Dados da empresa'!$B$26:$C$47,MATCH($J$4,'Dados da empresa'!$B$26:$C$26,0),FALSE)*'Dados de custos'!$C$6*2,2)+ROUND(-'Dados de custos'!$D$12*0.06,2)+IF(AND('Dados da empresa'!$C$14="Lucro real - Incidência cumulativa de PIS e COFINS",'Dados da empresa'!$C$15="Sim"),-ROUND((ROUND(VLOOKUP($B74,'Dados da empresa'!$B$26:$C$47,MATCH($J$4,'Dados da empresa'!$B$26:$C$26,0),FALSE)* 'Dados de custos'!$C$6*2,2)+ROUND(-'Dados de custos'!$D$12*0.06,2))*0.0925,2),0)</f>
        <v>245.1</v>
      </c>
      <c r="K74" s="233">
        <f>'Dados de custos'!$D$20+'Dados de custos'!$D$26+'Dados de custos'!$D$29+'Dados de custos'!$D$32+'Dados de custos'!$D$35+'Dados de custos'!$D$36</f>
        <v>0</v>
      </c>
      <c r="L74" s="233">
        <f>'Dados de custos'!$D$38</f>
        <v>0</v>
      </c>
      <c r="M74" s="233">
        <f>'Dados de custos'!$D$44</f>
        <v>0</v>
      </c>
      <c r="N74" s="234" t="e">
        <f>ROUND(VLOOKUP($B74,'Dados da empresa'!$B$26:$E$47,MATCH($N$4,'Dados da empresa'!$B$26:$E$26,0),FALSE)*(M74+L74+K74+J74+I74),2)</f>
        <v>#VALUE!</v>
      </c>
    </row>
    <row r="75" spans="2:14" x14ac:dyDescent="0.3">
      <c r="B75" s="223" t="s">
        <v>96</v>
      </c>
      <c r="C75" s="224" t="s">
        <v>158</v>
      </c>
      <c r="D75" s="225" t="s">
        <v>81</v>
      </c>
      <c r="E75" s="244">
        <f>VLOOKUP(B75,'Elem. de fachada + Jard.'!$B$4:$K$24,MATCH('Orçam. analítico'!C75,'Elem. de fachada + Jard.'!$B$3:$K$3,0),0)</f>
        <v>24.31</v>
      </c>
      <c r="F75" s="227" t="e">
        <f>VLOOKUP(C75,'Dados de custos'!$B$56:$E$64,4,0)*(1+VLOOKUP(B75,'Dados da empresa'!$B$27:$E$47,MATCH("BDI",'Dados da empresa'!$B$26:$E$26,0)))</f>
        <v>#VALUE!</v>
      </c>
      <c r="G75" s="227" t="e">
        <f t="shared" si="4"/>
        <v>#VALUE!</v>
      </c>
      <c r="H75" s="227" t="e">
        <f>G75*'Dados de custos'!$C$7</f>
        <v>#VALUE!</v>
      </c>
      <c r="I75" s="229" t="s">
        <v>1</v>
      </c>
      <c r="J75" s="227" t="s">
        <v>1</v>
      </c>
      <c r="K75" s="227" t="s">
        <v>1</v>
      </c>
      <c r="L75" s="227" t="s">
        <v>1</v>
      </c>
      <c r="M75" s="227" t="s">
        <v>1</v>
      </c>
      <c r="N75" s="228" t="s">
        <v>1</v>
      </c>
    </row>
    <row r="76" spans="2:14" x14ac:dyDescent="0.3">
      <c r="B76" s="230" t="s">
        <v>96</v>
      </c>
      <c r="C76" s="231" t="s">
        <v>159</v>
      </c>
      <c r="D76" s="207" t="s">
        <v>81</v>
      </c>
      <c r="E76" s="232">
        <f>VLOOKUP(B76,'Elem. de fachada + Jard.'!$B$4:$K$24,MATCH('Orçam. analítico'!C76,'Elem. de fachada + Jard.'!$B$3:$K$3,0),0)</f>
        <v>505.87</v>
      </c>
      <c r="F76" s="233" t="e">
        <f>VLOOKUP(C76,'Dados de custos'!$B$56:$E$64,4,0)*(1+VLOOKUP(B76,'Dados da empresa'!$B$27:$E$47,MATCH("BDI",'Dados da empresa'!$B$26:$E$26,0)))</f>
        <v>#VALUE!</v>
      </c>
      <c r="G76" s="233" t="e">
        <f t="shared" si="4"/>
        <v>#VALUE!</v>
      </c>
      <c r="H76" s="233" t="e">
        <f>G76*'Dados de custos'!$C$7</f>
        <v>#VALUE!</v>
      </c>
      <c r="I76" s="243" t="s">
        <v>1</v>
      </c>
      <c r="J76" s="233" t="s">
        <v>1</v>
      </c>
      <c r="K76" s="233" t="s">
        <v>1</v>
      </c>
      <c r="L76" s="233" t="s">
        <v>1</v>
      </c>
      <c r="M76" s="233" t="s">
        <v>1</v>
      </c>
      <c r="N76" s="234" t="s">
        <v>1</v>
      </c>
    </row>
    <row r="77" spans="2:14" ht="13.8" thickBot="1" x14ac:dyDescent="0.35">
      <c r="B77" s="252" t="s">
        <v>96</v>
      </c>
      <c r="C77" s="253" t="s">
        <v>6</v>
      </c>
      <c r="D77" s="254" t="s">
        <v>81</v>
      </c>
      <c r="E77" s="255">
        <f>VLOOKUP(B77,'Elem. de fachada + Jard.'!$B$4:$K$24,MATCH('Orçam. analítico'!C77,'Elem. de fachada + Jard.'!$B$3:$K$3,0),0)</f>
        <v>1588.46</v>
      </c>
      <c r="F77" s="256" t="e">
        <f>VLOOKUP(C77,'Dados de custos'!$B$56:$E$64,4,0)*(1+VLOOKUP(B77,'Dados da empresa'!$B$27:$E$47,MATCH("BDI",'Dados da empresa'!$B$26:$E$26,0)))</f>
        <v>#VALUE!</v>
      </c>
      <c r="G77" s="256" t="e">
        <f t="shared" ref="G77:G110" si="5">ROUND(E77*F77,2)</f>
        <v>#VALUE!</v>
      </c>
      <c r="H77" s="256" t="e">
        <f>G77*'Dados de custos'!$C$7</f>
        <v>#VALUE!</v>
      </c>
      <c r="I77" s="258" t="s">
        <v>1</v>
      </c>
      <c r="J77" s="256" t="s">
        <v>1</v>
      </c>
      <c r="K77" s="256" t="s">
        <v>1</v>
      </c>
      <c r="L77" s="256" t="s">
        <v>1</v>
      </c>
      <c r="M77" s="256" t="s">
        <v>1</v>
      </c>
      <c r="N77" s="257" t="s">
        <v>1</v>
      </c>
    </row>
    <row r="78" spans="2:14" x14ac:dyDescent="0.3">
      <c r="B78" s="216" t="s">
        <v>97</v>
      </c>
      <c r="C78" s="217" t="s">
        <v>85</v>
      </c>
      <c r="D78" s="218" t="s">
        <v>80</v>
      </c>
      <c r="E78" s="219">
        <f>VLOOKUP(B78,Postos!$B$4:$E$24,MATCH('Orçam. analítico'!C78,Postos!$B$3:$E$3,0),0)</f>
        <v>1</v>
      </c>
      <c r="F78" s="220" t="e">
        <f>I78+J78+K78+L78+M78+N78</f>
        <v>#VALUE!</v>
      </c>
      <c r="G78" s="220" t="e">
        <f t="shared" si="5"/>
        <v>#VALUE!</v>
      </c>
      <c r="H78" s="220" t="e">
        <f>G78*'Dados de custos'!$C$7</f>
        <v>#VALUE!</v>
      </c>
      <c r="I78" s="222">
        <f>INDEX('Dados de custos'!$C$11:$G$11,MATCH('Orçam. analítico'!C78,'Dados de custos'!$C$10:$G$10,0))</f>
        <v>0</v>
      </c>
      <c r="J78" s="220">
        <f>ROUND(VLOOKUP($B78,'Dados da empresa'!$B$26:$C$47,MATCH($J$4,'Dados da empresa'!$B$26:$C$26,0),FALSE)*'Dados de custos'!$C$6*2,2)+ROUND(-'Dados de custos'!$C$12*0.06,2)+IF(AND('Dados da empresa'!$C$14="Lucro real - Incidência cumulativa de PIS e COFINS",'Dados da empresa'!$C$15="Sim"),-ROUND((ROUND(VLOOKUP($B78,'Dados da empresa'!$B$26:$C$47,MATCH($J$4,'Dados da empresa'!$B$26:$C$26,0),FALSE)* 'Dados de custos'!$C$6*2,2)+ROUND(-'Dados de custos'!$C$12*0.06,2))*0.0925,2),0)</f>
        <v>225.49</v>
      </c>
      <c r="K78" s="220">
        <f>'Dados de custos'!$C$20+'Dados de custos'!$C$26+'Dados de custos'!$C$29+'Dados de custos'!$C$32+'Dados de custos'!$C$35+'Dados de custos'!$C$36</f>
        <v>0</v>
      </c>
      <c r="L78" s="220">
        <f>'Dados de custos'!$C$38</f>
        <v>0</v>
      </c>
      <c r="M78" s="220">
        <f>'Dados de custos'!$C$44</f>
        <v>0</v>
      </c>
      <c r="N78" s="221" t="e">
        <f>ROUND(VLOOKUP($B78,'Dados da empresa'!$B$26:$E$47,MATCH($N$4,'Dados da empresa'!$B$26:$E$26,0),FALSE)*(M78+L78+K78+J78+I78),2)</f>
        <v>#VALUE!</v>
      </c>
    </row>
    <row r="79" spans="2:14" x14ac:dyDescent="0.3">
      <c r="B79" s="223" t="s">
        <v>97</v>
      </c>
      <c r="C79" s="224" t="s">
        <v>77</v>
      </c>
      <c r="D79" s="225" t="s">
        <v>80</v>
      </c>
      <c r="E79" s="226">
        <f>VLOOKUP(B79,Postos!$B$4:$E$24,MATCH('Orçam. analítico'!C79,Postos!$B$3:$E$3,0),0)</f>
        <v>1</v>
      </c>
      <c r="F79" s="227" t="e">
        <f>I79+J79+K79+L79+M79+N79</f>
        <v>#VALUE!</v>
      </c>
      <c r="G79" s="227" t="e">
        <f t="shared" si="5"/>
        <v>#VALUE!</v>
      </c>
      <c r="H79" s="227" t="e">
        <f>G79*'Dados de custos'!$C$7</f>
        <v>#VALUE!</v>
      </c>
      <c r="I79" s="229">
        <f>INDEX('Dados de custos'!$C$11:$G$11,MATCH('Orçam. analítico'!C79,'Dados de custos'!$C$10:$G$10,0))</f>
        <v>0</v>
      </c>
      <c r="J79" s="227">
        <f>ROUND(VLOOKUP($B79,'Dados da empresa'!$B$26:$C$47,MATCH($J$4,'Dados da empresa'!$B$26:$C$26,0),FALSE)*'Dados de custos'!$C$6*2,2)+ROUND(-'Dados de custos'!$D$12*0.06,2)+IF(AND('Dados da empresa'!$C$14="Lucro real - Incidência cumulativa de PIS e COFINS",'Dados da empresa'!$C$15="Sim"),-ROUND((ROUND(VLOOKUP($B79,'Dados da empresa'!$B$26:$C$47,MATCH($J$4,'Dados da empresa'!$B$26:$C$26,0),FALSE)* 'Dados de custos'!$C$6*2,2)+ROUND(-'Dados de custos'!$D$12*0.06,2))*0.0925,2),0)</f>
        <v>225.49</v>
      </c>
      <c r="K79" s="227">
        <f>'Dados de custos'!$D$20+'Dados de custos'!$D$26+'Dados de custos'!$D$29+'Dados de custos'!$D$32+'Dados de custos'!$D$35+'Dados de custos'!$D$36</f>
        <v>0</v>
      </c>
      <c r="L79" s="227">
        <f>'Dados de custos'!$D$38</f>
        <v>0</v>
      </c>
      <c r="M79" s="227">
        <f>'Dados de custos'!$D$44</f>
        <v>0</v>
      </c>
      <c r="N79" s="228" t="e">
        <f>ROUND(VLOOKUP($B79,'Dados da empresa'!$B$26:$E$47,MATCH($N$4,'Dados da empresa'!$B$26:$E$26,0),FALSE)*(M79+L79+K79+J79+I79),2)</f>
        <v>#VALUE!</v>
      </c>
    </row>
    <row r="80" spans="2:14" x14ac:dyDescent="0.3">
      <c r="B80" s="230" t="s">
        <v>97</v>
      </c>
      <c r="C80" s="231" t="s">
        <v>158</v>
      </c>
      <c r="D80" s="207" t="s">
        <v>81</v>
      </c>
      <c r="E80" s="232">
        <f>VLOOKUP(B80,'Elem. de fachada + Jard.'!$B$4:$K$24,MATCH('Orçam. analítico'!C80,'Elem. de fachada + Jard.'!$B$3:$K$3,0),0)</f>
        <v>117.96</v>
      </c>
      <c r="F80" s="233" t="e">
        <f>VLOOKUP(C80,'Dados de custos'!$B$56:$E$64,4,0)*(1+VLOOKUP(B80,'Dados da empresa'!$B$27:$E$47,MATCH("BDI",'Dados da empresa'!$B$26:$E$26,0)))</f>
        <v>#VALUE!</v>
      </c>
      <c r="G80" s="233" t="e">
        <f t="shared" si="5"/>
        <v>#VALUE!</v>
      </c>
      <c r="H80" s="233" t="e">
        <f>G80*'Dados de custos'!$C$7</f>
        <v>#VALUE!</v>
      </c>
      <c r="I80" s="235" t="s">
        <v>1</v>
      </c>
      <c r="J80" s="233" t="s">
        <v>1</v>
      </c>
      <c r="K80" s="233" t="s">
        <v>1</v>
      </c>
      <c r="L80" s="233" t="s">
        <v>1</v>
      </c>
      <c r="M80" s="233" t="s">
        <v>1</v>
      </c>
      <c r="N80" s="234" t="s">
        <v>1</v>
      </c>
    </row>
    <row r="81" spans="2:17" x14ac:dyDescent="0.3">
      <c r="B81" s="223" t="s">
        <v>97</v>
      </c>
      <c r="C81" s="224" t="s">
        <v>159</v>
      </c>
      <c r="D81" s="225" t="s">
        <v>81</v>
      </c>
      <c r="E81" s="244">
        <f>VLOOKUP(B81,'Elem. de fachada + Jard.'!$B$4:$K$24,MATCH('Orçam. analítico'!C81,'Elem. de fachada + Jard.'!$B$3:$K$3,0),0)</f>
        <v>673.84</v>
      </c>
      <c r="F81" s="227" t="e">
        <f>VLOOKUP(C81,'Dados de custos'!$B$56:$E$64,4,0)*(1+VLOOKUP(B81,'Dados da empresa'!$B$27:$E$47,MATCH("BDI",'Dados da empresa'!$B$26:$E$26,0)))</f>
        <v>#VALUE!</v>
      </c>
      <c r="G81" s="227" t="e">
        <f t="shared" si="5"/>
        <v>#VALUE!</v>
      </c>
      <c r="H81" s="227" t="e">
        <f>G81*'Dados de custos'!$C$7</f>
        <v>#VALUE!</v>
      </c>
      <c r="I81" s="229" t="s">
        <v>1</v>
      </c>
      <c r="J81" s="227" t="s">
        <v>1</v>
      </c>
      <c r="K81" s="227" t="s">
        <v>1</v>
      </c>
      <c r="L81" s="227" t="s">
        <v>1</v>
      </c>
      <c r="M81" s="227" t="s">
        <v>1</v>
      </c>
      <c r="N81" s="228" t="s">
        <v>1</v>
      </c>
    </row>
    <row r="82" spans="2:17" ht="13.8" thickBot="1" x14ac:dyDescent="0.35">
      <c r="B82" s="236" t="s">
        <v>97</v>
      </c>
      <c r="C82" s="237" t="s">
        <v>6</v>
      </c>
      <c r="D82" s="208" t="s">
        <v>81</v>
      </c>
      <c r="E82" s="238">
        <f>VLOOKUP(B82,'Elem. de fachada + Jard.'!$B$4:$K$24,MATCH('Orçam. analítico'!C82,'Elem. de fachada + Jard.'!$B$3:$K$3,0),0)</f>
        <v>326.54000000000002</v>
      </c>
      <c r="F82" s="239" t="e">
        <f>VLOOKUP(C82,'Dados de custos'!$B$56:$E$64,4,0)*(1+VLOOKUP(B82,'Dados da empresa'!$B$27:$E$47,MATCH("BDI",'Dados da empresa'!$B$26:$E$26,0)))</f>
        <v>#VALUE!</v>
      </c>
      <c r="G82" s="239" t="e">
        <f t="shared" si="5"/>
        <v>#VALUE!</v>
      </c>
      <c r="H82" s="239" t="e">
        <f>G82*'Dados de custos'!$C$7</f>
        <v>#VALUE!</v>
      </c>
      <c r="I82" s="241" t="s">
        <v>1</v>
      </c>
      <c r="J82" s="239" t="s">
        <v>1</v>
      </c>
      <c r="K82" s="239" t="s">
        <v>1</v>
      </c>
      <c r="L82" s="239" t="s">
        <v>1</v>
      </c>
      <c r="M82" s="239" t="s">
        <v>1</v>
      </c>
      <c r="N82" s="240" t="s">
        <v>1</v>
      </c>
    </row>
    <row r="83" spans="2:17" x14ac:dyDescent="0.3">
      <c r="B83" s="223" t="s">
        <v>98</v>
      </c>
      <c r="C83" s="224" t="s">
        <v>77</v>
      </c>
      <c r="D83" s="225" t="s">
        <v>80</v>
      </c>
      <c r="E83" s="226">
        <f>VLOOKUP(B83,Postos!$B$4:$E$24,MATCH('Orçam. analítico'!C83,Postos!$B$3:$E$3,0),0)</f>
        <v>1</v>
      </c>
      <c r="F83" s="227" t="e">
        <f>I83+J83+K83+L83+M83+N83</f>
        <v>#VALUE!</v>
      </c>
      <c r="G83" s="227" t="e">
        <f t="shared" si="5"/>
        <v>#VALUE!</v>
      </c>
      <c r="H83" s="227" t="e">
        <f>G83*'Dados de custos'!$C$7</f>
        <v>#VALUE!</v>
      </c>
      <c r="I83" s="229">
        <f>INDEX('Dados de custos'!$C$11:$G$11,MATCH('Orçam. analítico'!C83,'Dados de custos'!$C$10:$G$10,0))</f>
        <v>0</v>
      </c>
      <c r="J83" s="227">
        <f>ROUND(VLOOKUP($B83,'Dados da empresa'!$B$26:$C$47,MATCH($J$4,'Dados da empresa'!$B$26:$C$26,0),FALSE)*'Dados de custos'!$C$6*2,2)+ROUND(-'Dados de custos'!$D$12*0.06,2)+IF(AND('Dados da empresa'!$C$14="Lucro real - Incidência cumulativa de PIS e COFINS",'Dados da empresa'!$C$15="Sim"),-ROUND((ROUND(VLOOKUP($B83,'Dados da empresa'!$B$26:$C$47,MATCH($J$4,'Dados da empresa'!$B$26:$C$26,0),FALSE)* 'Dados de custos'!$C$6*2,2)+ROUND(-'Dados de custos'!$D$12*0.06,2))*0.0925,2),0)</f>
        <v>218.29</v>
      </c>
      <c r="K83" s="227">
        <f>'Dados de custos'!$D$20+'Dados de custos'!$D$26+'Dados de custos'!$D$29+'Dados de custos'!$D$32+'Dados de custos'!$D$35+'Dados de custos'!$D$36</f>
        <v>0</v>
      </c>
      <c r="L83" s="227">
        <f>'Dados de custos'!$D$38</f>
        <v>0</v>
      </c>
      <c r="M83" s="227">
        <f>'Dados de custos'!$D$44</f>
        <v>0</v>
      </c>
      <c r="N83" s="228" t="e">
        <f>ROUND(VLOOKUP($B83,'Dados da empresa'!$B$26:$E$47,MATCH($N$4,'Dados da empresa'!$B$26:$E$26,0),FALSE)*(M83+L83+K83+J83+I83),2)</f>
        <v>#VALUE!</v>
      </c>
      <c r="P83" s="259"/>
    </row>
    <row r="84" spans="2:17" x14ac:dyDescent="0.3">
      <c r="B84" s="230" t="s">
        <v>98</v>
      </c>
      <c r="C84" s="231" t="s">
        <v>158</v>
      </c>
      <c r="D84" s="207" t="s">
        <v>81</v>
      </c>
      <c r="E84" s="232">
        <f>VLOOKUP(B84,'Elem. de fachada + Jard.'!$B$4:$K$24,MATCH('Orçam. analítico'!C84,'Elem. de fachada + Jard.'!$B$3:$K$3,0),0)</f>
        <v>31</v>
      </c>
      <c r="F84" s="233" t="e">
        <f>VLOOKUP(C84,'Dados de custos'!$B$56:$E$64,4,0)*(1+VLOOKUP(B84,'Dados da empresa'!$B$27:$E$47,MATCH("BDI",'Dados da empresa'!$B$26:$E$26,0)))</f>
        <v>#VALUE!</v>
      </c>
      <c r="G84" s="233" t="e">
        <f t="shared" si="5"/>
        <v>#VALUE!</v>
      </c>
      <c r="H84" s="233" t="e">
        <f>G84*'Dados de custos'!$C$7</f>
        <v>#VALUE!</v>
      </c>
      <c r="I84" s="235" t="s">
        <v>1</v>
      </c>
      <c r="J84" s="233" t="s">
        <v>1</v>
      </c>
      <c r="K84" s="233" t="s">
        <v>1</v>
      </c>
      <c r="L84" s="233" t="s">
        <v>1</v>
      </c>
      <c r="M84" s="233" t="s">
        <v>1</v>
      </c>
      <c r="N84" s="234" t="s">
        <v>1</v>
      </c>
      <c r="P84" s="259"/>
    </row>
    <row r="85" spans="2:17" x14ac:dyDescent="0.3">
      <c r="B85" s="223" t="s">
        <v>98</v>
      </c>
      <c r="C85" s="224" t="s">
        <v>159</v>
      </c>
      <c r="D85" s="225" t="s">
        <v>81</v>
      </c>
      <c r="E85" s="244">
        <f>VLOOKUP(B85,'Elem. de fachada + Jard.'!$B$4:$K$24,MATCH('Orçam. analítico'!C85,'Elem. de fachada + Jard.'!$B$3:$K$3,0),0)</f>
        <v>14.32</v>
      </c>
      <c r="F85" s="227" t="e">
        <f>VLOOKUP(C85,'Dados de custos'!$B$56:$E$64,4,0)*(1+VLOOKUP(B85,'Dados da empresa'!$B$27:$E$47,MATCH("BDI",'Dados da empresa'!$B$26:$E$26,0)))</f>
        <v>#VALUE!</v>
      </c>
      <c r="G85" s="227" t="e">
        <f t="shared" si="5"/>
        <v>#VALUE!</v>
      </c>
      <c r="H85" s="227" t="e">
        <f>G85*'Dados de custos'!$C$7</f>
        <v>#VALUE!</v>
      </c>
      <c r="I85" s="229" t="s">
        <v>1</v>
      </c>
      <c r="J85" s="227" t="s">
        <v>1</v>
      </c>
      <c r="K85" s="227" t="s">
        <v>1</v>
      </c>
      <c r="L85" s="227" t="s">
        <v>1</v>
      </c>
      <c r="M85" s="227" t="s">
        <v>1</v>
      </c>
      <c r="N85" s="228" t="s">
        <v>1</v>
      </c>
      <c r="Q85" s="259"/>
    </row>
    <row r="86" spans="2:17" ht="13.8" thickBot="1" x14ac:dyDescent="0.35">
      <c r="B86" s="236" t="s">
        <v>98</v>
      </c>
      <c r="C86" s="237" t="s">
        <v>6</v>
      </c>
      <c r="D86" s="208" t="s">
        <v>81</v>
      </c>
      <c r="E86" s="238">
        <f>VLOOKUP(B86,'Elem. de fachada + Jard.'!$B$4:$K$24,MATCH('Orçam. analítico'!C86,'Elem. de fachada + Jard.'!$B$3:$K$3,0),0)</f>
        <v>8.4499999999999993</v>
      </c>
      <c r="F86" s="239" t="e">
        <f>VLOOKUP(C86,'Dados de custos'!$B$56:$E$64,4,0)*(1+VLOOKUP(B86,'Dados da empresa'!$B$27:$E$47,MATCH("BDI",'Dados da empresa'!$B$26:$E$26,0)))</f>
        <v>#VALUE!</v>
      </c>
      <c r="G86" s="239" t="e">
        <f t="shared" si="5"/>
        <v>#VALUE!</v>
      </c>
      <c r="H86" s="239" t="e">
        <f>G86*'Dados de custos'!$C$7</f>
        <v>#VALUE!</v>
      </c>
      <c r="I86" s="241" t="s">
        <v>1</v>
      </c>
      <c r="J86" s="239" t="s">
        <v>1</v>
      </c>
      <c r="K86" s="239" t="s">
        <v>1</v>
      </c>
      <c r="L86" s="239" t="s">
        <v>1</v>
      </c>
      <c r="M86" s="239" t="s">
        <v>1</v>
      </c>
      <c r="N86" s="240" t="s">
        <v>1</v>
      </c>
    </row>
    <row r="87" spans="2:17" x14ac:dyDescent="0.3">
      <c r="B87" s="223" t="s">
        <v>99</v>
      </c>
      <c r="C87" s="224" t="s">
        <v>77</v>
      </c>
      <c r="D87" s="225" t="s">
        <v>80</v>
      </c>
      <c r="E87" s="226">
        <f>VLOOKUP(B87,Postos!$B$4:$E$24,MATCH('Orçam. analítico'!C87,Postos!$B$3:$E$3,0),0)</f>
        <v>1</v>
      </c>
      <c r="F87" s="227" t="e">
        <f>I87+J87+K87+L87+M87+N87</f>
        <v>#VALUE!</v>
      </c>
      <c r="G87" s="227" t="e">
        <f t="shared" si="5"/>
        <v>#VALUE!</v>
      </c>
      <c r="H87" s="227" t="e">
        <f>G87*'Dados de custos'!$C$7</f>
        <v>#VALUE!</v>
      </c>
      <c r="I87" s="229">
        <f>INDEX('Dados de custos'!$C$11:$G$11,MATCH('Orçam. analítico'!C87,'Dados de custos'!$C$10:$G$10,0))</f>
        <v>0</v>
      </c>
      <c r="J87" s="227">
        <f>ROUND(VLOOKUP($B87,'Dados da empresa'!$B$26:$C$47,MATCH($J$4,'Dados da empresa'!$B$26:$C$26,0),FALSE)*'Dados de custos'!$C$6*2,2)+ROUND(-'Dados de custos'!$D$12*0.06,2)+IF(AND('Dados da empresa'!$C$14="Lucro real - Incidência cumulativa de PIS e COFINS",'Dados da empresa'!$C$15="Sim"),-ROUND((ROUND(VLOOKUP($B87,'Dados da empresa'!$B$26:$C$47,MATCH($J$4,'Dados da empresa'!$B$26:$C$26,0),FALSE)* 'Dados de custos'!$C$6*2,2)+ROUND(-'Dados de custos'!$D$12*0.06,2))*0.0925,2),0)</f>
        <v>250</v>
      </c>
      <c r="K87" s="227">
        <f>'Dados de custos'!$D$20+'Dados de custos'!$D$26+'Dados de custos'!$D$29+'Dados de custos'!$D$32+'Dados de custos'!$D$35+'Dados de custos'!$D$36</f>
        <v>0</v>
      </c>
      <c r="L87" s="227">
        <f>'Dados de custos'!$D$38</f>
        <v>0</v>
      </c>
      <c r="M87" s="227">
        <f>'Dados de custos'!$D$44</f>
        <v>0</v>
      </c>
      <c r="N87" s="228" t="e">
        <f>ROUND(VLOOKUP($B87,'Dados da empresa'!$B$26:$E$47,MATCH($N$4,'Dados da empresa'!$B$26:$E$26,0),FALSE)*(M87+L87+K87+J87+I87),2)</f>
        <v>#VALUE!</v>
      </c>
    </row>
    <row r="88" spans="2:17" x14ac:dyDescent="0.3">
      <c r="B88" s="230" t="s">
        <v>99</v>
      </c>
      <c r="C88" s="231" t="s">
        <v>158</v>
      </c>
      <c r="D88" s="207" t="s">
        <v>81</v>
      </c>
      <c r="E88" s="232">
        <f>VLOOKUP(B88,'Elem. de fachada + Jard.'!$B$4:$K$24,MATCH('Orçam. analítico'!C88,'Elem. de fachada + Jard.'!$B$3:$K$3,0),0)</f>
        <v>98.18</v>
      </c>
      <c r="F88" s="233" t="e">
        <f>VLOOKUP(C88,'Dados de custos'!$B$56:$E$64,4,0)*(1+VLOOKUP(B88,'Dados da empresa'!$B$27:$E$47,MATCH("BDI",'Dados da empresa'!$B$26:$E$26,0)))</f>
        <v>#VALUE!</v>
      </c>
      <c r="G88" s="233" t="e">
        <f t="shared" si="5"/>
        <v>#VALUE!</v>
      </c>
      <c r="H88" s="233" t="e">
        <f>G88*'Dados de custos'!$C$7</f>
        <v>#VALUE!</v>
      </c>
      <c r="I88" s="235" t="s">
        <v>1</v>
      </c>
      <c r="J88" s="233" t="s">
        <v>1</v>
      </c>
      <c r="K88" s="233" t="s">
        <v>1</v>
      </c>
      <c r="L88" s="233" t="s">
        <v>1</v>
      </c>
      <c r="M88" s="233" t="s">
        <v>1</v>
      </c>
      <c r="N88" s="234" t="s">
        <v>1</v>
      </c>
    </row>
    <row r="89" spans="2:17" x14ac:dyDescent="0.3">
      <c r="B89" s="223" t="s">
        <v>99</v>
      </c>
      <c r="C89" s="224" t="s">
        <v>159</v>
      </c>
      <c r="D89" s="225" t="s">
        <v>81</v>
      </c>
      <c r="E89" s="244">
        <f>VLOOKUP(B89,'Elem. de fachada + Jard.'!$B$4:$K$24,MATCH('Orçam. analítico'!C89,'Elem. de fachada + Jard.'!$B$3:$K$3,0),0)</f>
        <v>122.69</v>
      </c>
      <c r="F89" s="227" t="e">
        <f>VLOOKUP(C89,'Dados de custos'!$B$56:$E$64,4,0)*(1+VLOOKUP(B89,'Dados da empresa'!$B$27:$E$47,MATCH("BDI",'Dados da empresa'!$B$26:$E$26,0)))</f>
        <v>#VALUE!</v>
      </c>
      <c r="G89" s="227" t="e">
        <f t="shared" si="5"/>
        <v>#VALUE!</v>
      </c>
      <c r="H89" s="227" t="e">
        <f>G89*'Dados de custos'!$C$7</f>
        <v>#VALUE!</v>
      </c>
      <c r="I89" s="229" t="s">
        <v>1</v>
      </c>
      <c r="J89" s="227" t="s">
        <v>1</v>
      </c>
      <c r="K89" s="227" t="s">
        <v>1</v>
      </c>
      <c r="L89" s="227" t="s">
        <v>1</v>
      </c>
      <c r="M89" s="227" t="s">
        <v>1</v>
      </c>
      <c r="N89" s="228" t="s">
        <v>1</v>
      </c>
    </row>
    <row r="90" spans="2:17" x14ac:dyDescent="0.3">
      <c r="B90" s="230" t="s">
        <v>99</v>
      </c>
      <c r="C90" s="231" t="s">
        <v>75</v>
      </c>
      <c r="D90" s="207" t="s">
        <v>81</v>
      </c>
      <c r="E90" s="232">
        <f>VLOOKUP(B90,'Elem. de fachada + Jard.'!$B$4:$K$24,MATCH('Orçam. analítico'!C90,'Elem. de fachada + Jard.'!$B$3:$K$3,0),0)</f>
        <v>6.3</v>
      </c>
      <c r="F90" s="233" t="e">
        <f>VLOOKUP(C90,'Dados de custos'!$B$56:$E$64,4,0)*(1+VLOOKUP(B90,'Dados da empresa'!$B$27:$E$47,MATCH("BDI",'Dados da empresa'!$B$26:$E$26,0)))</f>
        <v>#VALUE!</v>
      </c>
      <c r="G90" s="233" t="e">
        <f t="shared" si="5"/>
        <v>#VALUE!</v>
      </c>
      <c r="H90" s="233" t="e">
        <f>G90*'Dados de custos'!$C$7</f>
        <v>#VALUE!</v>
      </c>
      <c r="I90" s="243" t="s">
        <v>1</v>
      </c>
      <c r="J90" s="233" t="s">
        <v>1</v>
      </c>
      <c r="K90" s="233" t="s">
        <v>1</v>
      </c>
      <c r="L90" s="233" t="s">
        <v>1</v>
      </c>
      <c r="M90" s="233" t="s">
        <v>1</v>
      </c>
      <c r="N90" s="234" t="s">
        <v>1</v>
      </c>
    </row>
    <row r="91" spans="2:17" x14ac:dyDescent="0.3">
      <c r="B91" s="223" t="s">
        <v>99</v>
      </c>
      <c r="C91" s="224" t="s">
        <v>76</v>
      </c>
      <c r="D91" s="225" t="s">
        <v>81</v>
      </c>
      <c r="E91" s="244">
        <f>VLOOKUP(B91,'Elem. de fachada + Jard.'!$B$4:$K$24,MATCH('Orçam. analítico'!C91,'Elem. de fachada + Jard.'!$B$3:$K$3,0),0)</f>
        <v>90.34</v>
      </c>
      <c r="F91" s="227" t="e">
        <f>VLOOKUP(C91,'Dados de custos'!$B$56:$E$64,4,0)*(1+VLOOKUP(B91,'Dados da empresa'!$B$27:$E$47,MATCH("BDI",'Dados da empresa'!$B$26:$E$26,0)))</f>
        <v>#VALUE!</v>
      </c>
      <c r="G91" s="227" t="e">
        <f t="shared" si="5"/>
        <v>#VALUE!</v>
      </c>
      <c r="H91" s="227" t="e">
        <f>G91*'Dados de custos'!$C$7</f>
        <v>#VALUE!</v>
      </c>
      <c r="I91" s="229" t="s">
        <v>1</v>
      </c>
      <c r="J91" s="227" t="s">
        <v>1</v>
      </c>
      <c r="K91" s="227" t="s">
        <v>1</v>
      </c>
      <c r="L91" s="227" t="s">
        <v>1</v>
      </c>
      <c r="M91" s="227" t="s">
        <v>1</v>
      </c>
      <c r="N91" s="228" t="s">
        <v>1</v>
      </c>
    </row>
    <row r="92" spans="2:17" ht="13.8" thickBot="1" x14ac:dyDescent="0.35">
      <c r="B92" s="236" t="s">
        <v>99</v>
      </c>
      <c r="C92" s="237" t="s">
        <v>6</v>
      </c>
      <c r="D92" s="208" t="s">
        <v>81</v>
      </c>
      <c r="E92" s="238">
        <f>VLOOKUP(B92,'Elem. de fachada + Jard.'!$B$4:$K$24,MATCH('Orçam. analítico'!C92,'Elem. de fachada + Jard.'!$B$3:$K$3,0),0)</f>
        <v>27.310000000000002</v>
      </c>
      <c r="F92" s="239" t="e">
        <f>VLOOKUP(C92,'Dados de custos'!$B$56:$E$64,4,0)*(1+VLOOKUP(B92,'Dados da empresa'!$B$27:$E$47,MATCH("BDI",'Dados da empresa'!$B$26:$E$26,0)))</f>
        <v>#VALUE!</v>
      </c>
      <c r="G92" s="239" t="e">
        <f t="shared" si="5"/>
        <v>#VALUE!</v>
      </c>
      <c r="H92" s="239" t="e">
        <f>G92*'Dados de custos'!$C$7</f>
        <v>#VALUE!</v>
      </c>
      <c r="I92" s="241" t="s">
        <v>1</v>
      </c>
      <c r="J92" s="239" t="s">
        <v>1</v>
      </c>
      <c r="K92" s="239" t="s">
        <v>1</v>
      </c>
      <c r="L92" s="239" t="s">
        <v>1</v>
      </c>
      <c r="M92" s="239" t="s">
        <v>1</v>
      </c>
      <c r="N92" s="240" t="s">
        <v>1</v>
      </c>
    </row>
    <row r="93" spans="2:17" x14ac:dyDescent="0.3">
      <c r="B93" s="223" t="s">
        <v>100</v>
      </c>
      <c r="C93" s="224" t="s">
        <v>77</v>
      </c>
      <c r="D93" s="225" t="s">
        <v>80</v>
      </c>
      <c r="E93" s="226">
        <f>VLOOKUP(B93,Postos!$B$4:$E$24,MATCH('Orçam. analítico'!C93,Postos!$B$3:$E$3,0),0)</f>
        <v>1</v>
      </c>
      <c r="F93" s="227" t="e">
        <f>I93+J93+K93+L93+M93+N93</f>
        <v>#VALUE!</v>
      </c>
      <c r="G93" s="227" t="e">
        <f t="shared" si="5"/>
        <v>#VALUE!</v>
      </c>
      <c r="H93" s="227" t="e">
        <f>G93*'Dados de custos'!$C$7</f>
        <v>#VALUE!</v>
      </c>
      <c r="I93" s="229">
        <f>INDEX('Dados de custos'!$C$11:$G$11,MATCH('Orçam. analítico'!C93,'Dados de custos'!$C$10:$G$10,0))</f>
        <v>0</v>
      </c>
      <c r="J93" s="227">
        <f>ROUND(VLOOKUP($B93,'Dados da empresa'!$B$26:$C$47,MATCH($J$4,'Dados da empresa'!$B$26:$C$26,0),FALSE)*'Dados de custos'!$C$6*2,2)+ROUND(-'Dados de custos'!$D$12*0.06,2)+IF(AND('Dados da empresa'!$C$14="Lucro real - Incidência cumulativa de PIS e COFINS",'Dados da empresa'!$C$15="Sim"),-ROUND((ROUND(VLOOKUP($B93,'Dados da empresa'!$B$26:$C$47,MATCH($J$4,'Dados da empresa'!$B$26:$C$26,0),FALSE)* 'Dados de custos'!$C$6*2,2)+ROUND(-'Dados de custos'!$D$12*0.06,2))*0.0925,2),0)</f>
        <v>186.28</v>
      </c>
      <c r="K93" s="227">
        <f>'Dados de custos'!$D$20+'Dados de custos'!$D$26+'Dados de custos'!$D$29+'Dados de custos'!$D$32+'Dados de custos'!$D$35+'Dados de custos'!$D$36</f>
        <v>0</v>
      </c>
      <c r="L93" s="227">
        <f>'Dados de custos'!$D$38</f>
        <v>0</v>
      </c>
      <c r="M93" s="227">
        <f>'Dados de custos'!$D$44</f>
        <v>0</v>
      </c>
      <c r="N93" s="228" t="e">
        <f>ROUND(VLOOKUP($B93,'Dados da empresa'!$B$26:$E$47,MATCH($N$4,'Dados da empresa'!$B$26:$E$26,0),FALSE)*(M93+L93+K93+J93+I93),2)</f>
        <v>#VALUE!</v>
      </c>
    </row>
    <row r="94" spans="2:17" x14ac:dyDescent="0.3">
      <c r="B94" s="230" t="s">
        <v>100</v>
      </c>
      <c r="C94" s="231" t="s">
        <v>158</v>
      </c>
      <c r="D94" s="207" t="s">
        <v>81</v>
      </c>
      <c r="E94" s="232">
        <f>VLOOKUP(B94,'Elem. de fachada + Jard.'!$B$4:$K$24,MATCH('Orçam. analítico'!C94,'Elem. de fachada + Jard.'!$B$3:$K$3,0),0)</f>
        <v>45.84</v>
      </c>
      <c r="F94" s="233" t="e">
        <f>VLOOKUP(C94,'Dados de custos'!$B$56:$E$64,4,0)*(1+VLOOKUP(B94,'Dados da empresa'!$B$27:$E$47,MATCH("BDI",'Dados da empresa'!$B$26:$E$26,0)))</f>
        <v>#VALUE!</v>
      </c>
      <c r="G94" s="233" t="e">
        <f t="shared" si="5"/>
        <v>#VALUE!</v>
      </c>
      <c r="H94" s="233" t="e">
        <f>G94*'Dados de custos'!$C$7</f>
        <v>#VALUE!</v>
      </c>
      <c r="I94" s="235" t="s">
        <v>1</v>
      </c>
      <c r="J94" s="233" t="s">
        <v>1</v>
      </c>
      <c r="K94" s="233" t="s">
        <v>1</v>
      </c>
      <c r="L94" s="233" t="s">
        <v>1</v>
      </c>
      <c r="M94" s="233" t="s">
        <v>1</v>
      </c>
      <c r="N94" s="234" t="s">
        <v>1</v>
      </c>
    </row>
    <row r="95" spans="2:17" x14ac:dyDescent="0.3">
      <c r="B95" s="223" t="s">
        <v>100</v>
      </c>
      <c r="C95" s="224" t="s">
        <v>159</v>
      </c>
      <c r="D95" s="225" t="s">
        <v>81</v>
      </c>
      <c r="E95" s="244">
        <f>VLOOKUP(B95,'Elem. de fachada + Jard.'!$B$4:$K$24,MATCH('Orçam. analítico'!C95,'Elem. de fachada + Jard.'!$B$3:$K$3,0),0)</f>
        <v>5.36</v>
      </c>
      <c r="F95" s="227" t="e">
        <f>VLOOKUP(C95,'Dados de custos'!$B$56:$E$64,4,0)*(1+VLOOKUP(B95,'Dados da empresa'!$B$27:$E$47,MATCH("BDI",'Dados da empresa'!$B$26:$E$26,0)))</f>
        <v>#VALUE!</v>
      </c>
      <c r="G95" s="227" t="e">
        <f t="shared" si="5"/>
        <v>#VALUE!</v>
      </c>
      <c r="H95" s="227" t="e">
        <f>G95*'Dados de custos'!$C$7</f>
        <v>#VALUE!</v>
      </c>
      <c r="I95" s="229" t="s">
        <v>1</v>
      </c>
      <c r="J95" s="227" t="s">
        <v>1</v>
      </c>
      <c r="K95" s="227" t="s">
        <v>1</v>
      </c>
      <c r="L95" s="227" t="s">
        <v>1</v>
      </c>
      <c r="M95" s="227" t="s">
        <v>1</v>
      </c>
      <c r="N95" s="228" t="s">
        <v>1</v>
      </c>
    </row>
    <row r="96" spans="2:17" ht="13.8" thickBot="1" x14ac:dyDescent="0.35">
      <c r="B96" s="236" t="s">
        <v>100</v>
      </c>
      <c r="C96" s="237" t="s">
        <v>6</v>
      </c>
      <c r="D96" s="208" t="s">
        <v>81</v>
      </c>
      <c r="E96" s="238">
        <f>VLOOKUP(B96,'Elem. de fachada + Jard.'!$B$4:$K$24,MATCH('Orçam. analítico'!C96,'Elem. de fachada + Jard.'!$B$3:$K$3,0),0)</f>
        <v>101.56</v>
      </c>
      <c r="F96" s="239" t="e">
        <f>VLOOKUP(C96,'Dados de custos'!$B$56:$E$64,4,0)*(1+VLOOKUP(B96,'Dados da empresa'!$B$27:$E$47,MATCH("BDI",'Dados da empresa'!$B$26:$E$26,0)))</f>
        <v>#VALUE!</v>
      </c>
      <c r="G96" s="239" t="e">
        <f t="shared" si="5"/>
        <v>#VALUE!</v>
      </c>
      <c r="H96" s="239" t="e">
        <f>G96*'Dados de custos'!$C$7</f>
        <v>#VALUE!</v>
      </c>
      <c r="I96" s="241" t="s">
        <v>1</v>
      </c>
      <c r="J96" s="239" t="s">
        <v>1</v>
      </c>
      <c r="K96" s="239" t="s">
        <v>1</v>
      </c>
      <c r="L96" s="239" t="s">
        <v>1</v>
      </c>
      <c r="M96" s="239" t="s">
        <v>1</v>
      </c>
      <c r="N96" s="240" t="s">
        <v>1</v>
      </c>
    </row>
    <row r="97" spans="2:14" x14ac:dyDescent="0.3">
      <c r="B97" s="245" t="s">
        <v>101</v>
      </c>
      <c r="C97" s="246" t="s">
        <v>85</v>
      </c>
      <c r="D97" s="247" t="s">
        <v>80</v>
      </c>
      <c r="E97" s="248">
        <f>VLOOKUP(B97,Postos!$B$4:$E$24,MATCH('Orçam. analítico'!C97,Postos!$B$3:$E$3,0),0)</f>
        <v>1</v>
      </c>
      <c r="F97" s="249" t="e">
        <f>I97+J97+K97+L97+M97+N97</f>
        <v>#VALUE!</v>
      </c>
      <c r="G97" s="227" t="e">
        <f t="shared" si="5"/>
        <v>#VALUE!</v>
      </c>
      <c r="H97" s="249" t="e">
        <f>G97*'Dados de custos'!$C$7</f>
        <v>#VALUE!</v>
      </c>
      <c r="I97" s="251">
        <f>INDEX('Dados de custos'!$C$11:$G$11,MATCH('Orçam. analítico'!C97,'Dados de custos'!$C$10:$G$10,0))</f>
        <v>0</v>
      </c>
      <c r="J97" s="249">
        <f>ROUND(VLOOKUP($B97,'Dados da empresa'!$B$26:$C$47,MATCH($J$4,'Dados da empresa'!$B$26:$C$26,0),FALSE)*'Dados de custos'!$C$6*2,2)+ROUND(-'Dados de custos'!$C$12*0.06,2)+IF(AND('Dados da empresa'!$C$14="Lucro real - Incidência cumulativa de PIS e COFINS",'Dados da empresa'!$C$15="Sim"),-ROUND((ROUND(VLOOKUP($B97,'Dados da empresa'!$B$26:$C$47,MATCH($J$4,'Dados da empresa'!$B$26:$C$26,0),FALSE)* 'Dados de custos'!$C$6*2,2)+ROUND(-'Dados de custos'!$C$12*0.06,2))*0.0925,2),0)</f>
        <v>171.57</v>
      </c>
      <c r="K97" s="249">
        <f>'Dados de custos'!$C$20+'Dados de custos'!$C$26+'Dados de custos'!$C$29+'Dados de custos'!$C$32+'Dados de custos'!$C$35+'Dados de custos'!$C$36</f>
        <v>0</v>
      </c>
      <c r="L97" s="249">
        <f>'Dados de custos'!$C$38</f>
        <v>0</v>
      </c>
      <c r="M97" s="249">
        <f>'Dados de custos'!$C$44</f>
        <v>0</v>
      </c>
      <c r="N97" s="250" t="e">
        <f>ROUND(VLOOKUP($B97,'Dados da empresa'!$B$26:$E$47,MATCH($N$4,'Dados da empresa'!$B$26:$E$26,0),FALSE)*(M97+L97+K97+J97+I97),2)</f>
        <v>#VALUE!</v>
      </c>
    </row>
    <row r="98" spans="2:14" x14ac:dyDescent="0.3">
      <c r="B98" s="230" t="s">
        <v>101</v>
      </c>
      <c r="C98" s="231" t="s">
        <v>77</v>
      </c>
      <c r="D98" s="207" t="s">
        <v>80</v>
      </c>
      <c r="E98" s="242">
        <f>VLOOKUP(B98,Postos!$B$4:$E$24,MATCH('Orçam. analítico'!C98,Postos!$B$3:$E$3,0),0)</f>
        <v>1</v>
      </c>
      <c r="F98" s="233" t="e">
        <f>I98+J98+K98+L98+M98+N98</f>
        <v>#VALUE!</v>
      </c>
      <c r="G98" s="233" t="e">
        <f t="shared" si="5"/>
        <v>#VALUE!</v>
      </c>
      <c r="H98" s="233" t="e">
        <f>G98*'Dados de custos'!$C$7</f>
        <v>#VALUE!</v>
      </c>
      <c r="I98" s="229">
        <f>INDEX('Dados de custos'!$C$11:$G$11,MATCH('Orçam. analítico'!C98,'Dados de custos'!$C$10:$G$10,0))</f>
        <v>0</v>
      </c>
      <c r="J98" s="227">
        <f>ROUND(VLOOKUP($B98,'Dados da empresa'!$B$26:$C$47,MATCH($J$4,'Dados da empresa'!$B$26:$C$26,0),FALSE)*'Dados de custos'!$C$6*2,2)+ROUND(-'Dados de custos'!$D$12*0.06,2)+IF(AND('Dados da empresa'!$C$14="Lucro real - Incidência cumulativa de PIS e COFINS",'Dados da empresa'!$C$15="Sim"),-ROUND((ROUND(VLOOKUP($B98,'Dados da empresa'!$B$26:$C$47,MATCH($J$4,'Dados da empresa'!$B$26:$C$26,0),FALSE)* 'Dados de custos'!$C$6*2,2)+ROUND(-'Dados de custos'!$D$12*0.06,2))*0.0925,2),0)</f>
        <v>171.57</v>
      </c>
      <c r="K98" s="227">
        <f>'Dados de custos'!$D$20+'Dados de custos'!$D$26+'Dados de custos'!$D$29+'Dados de custos'!$D$32+'Dados de custos'!$D$35+'Dados de custos'!$D$36</f>
        <v>0</v>
      </c>
      <c r="L98" s="227">
        <f>'Dados de custos'!$D$38</f>
        <v>0</v>
      </c>
      <c r="M98" s="227">
        <f>'Dados de custos'!$D$44</f>
        <v>0</v>
      </c>
      <c r="N98" s="228" t="e">
        <f>ROUND(VLOOKUP($B98,'Dados da empresa'!$B$26:$E$47,MATCH($N$4,'Dados da empresa'!$B$26:$E$26,0),FALSE)*(M98+L98+K98+J98+I98),2)</f>
        <v>#VALUE!</v>
      </c>
    </row>
    <row r="99" spans="2:14" x14ac:dyDescent="0.3">
      <c r="B99" s="223" t="s">
        <v>101</v>
      </c>
      <c r="C99" s="224" t="s">
        <v>158</v>
      </c>
      <c r="D99" s="225" t="s">
        <v>81</v>
      </c>
      <c r="E99" s="244">
        <f>VLOOKUP(B99,'Elem. de fachada + Jard.'!$B$4:$K$24,MATCH('Orçam. analítico'!C99,'Elem. de fachada + Jard.'!$B$3:$K$3,0),0)</f>
        <v>77.510000000000005</v>
      </c>
      <c r="F99" s="227" t="e">
        <f>VLOOKUP(C99,'Dados de custos'!$B$56:$E$64,4,0)*(1+VLOOKUP(B99,'Dados da empresa'!$B$27:$E$47,MATCH("BDI",'Dados da empresa'!$B$26:$E$26,0)))</f>
        <v>#VALUE!</v>
      </c>
      <c r="G99" s="227" t="e">
        <f t="shared" si="5"/>
        <v>#VALUE!</v>
      </c>
      <c r="H99" s="227" t="e">
        <f>G99*'Dados de custos'!$C$7</f>
        <v>#VALUE!</v>
      </c>
      <c r="I99" s="229" t="s">
        <v>1</v>
      </c>
      <c r="J99" s="227" t="s">
        <v>1</v>
      </c>
      <c r="K99" s="227" t="s">
        <v>1</v>
      </c>
      <c r="L99" s="227" t="s">
        <v>1</v>
      </c>
      <c r="M99" s="227" t="s">
        <v>1</v>
      </c>
      <c r="N99" s="228" t="s">
        <v>1</v>
      </c>
    </row>
    <row r="100" spans="2:14" x14ac:dyDescent="0.3">
      <c r="B100" s="230" t="s">
        <v>101</v>
      </c>
      <c r="C100" s="231" t="s">
        <v>159</v>
      </c>
      <c r="D100" s="207" t="s">
        <v>81</v>
      </c>
      <c r="E100" s="232">
        <f>VLOOKUP(B100,'Elem. de fachada + Jard.'!$B$4:$K$24,MATCH('Orçam. analítico'!C100,'Elem. de fachada + Jard.'!$B$3:$K$3,0),0)</f>
        <v>528.29999999999995</v>
      </c>
      <c r="F100" s="233" t="e">
        <f>VLOOKUP(C100,'Dados de custos'!$B$56:$E$64,4,0)*(1+VLOOKUP(B100,'Dados da empresa'!$B$27:$E$47,MATCH("BDI",'Dados da empresa'!$B$26:$E$26,0)))</f>
        <v>#VALUE!</v>
      </c>
      <c r="G100" s="233" t="e">
        <f t="shared" si="5"/>
        <v>#VALUE!</v>
      </c>
      <c r="H100" s="233" t="e">
        <f>G100*'Dados de custos'!$C$7</f>
        <v>#VALUE!</v>
      </c>
      <c r="I100" s="243" t="s">
        <v>1</v>
      </c>
      <c r="J100" s="233" t="s">
        <v>1</v>
      </c>
      <c r="K100" s="233" t="s">
        <v>1</v>
      </c>
      <c r="L100" s="233" t="s">
        <v>1</v>
      </c>
      <c r="M100" s="233" t="s">
        <v>1</v>
      </c>
      <c r="N100" s="234" t="s">
        <v>1</v>
      </c>
    </row>
    <row r="101" spans="2:14" x14ac:dyDescent="0.3">
      <c r="B101" s="223" t="s">
        <v>101</v>
      </c>
      <c r="C101" s="224" t="s">
        <v>74</v>
      </c>
      <c r="D101" s="225" t="s">
        <v>81</v>
      </c>
      <c r="E101" s="244">
        <f>VLOOKUP(B101,'Elem. de fachada + Jard.'!$B$4:$K$24,MATCH('Orçam. analítico'!C101,'Elem. de fachada + Jard.'!$B$3:$K$3,0),0)</f>
        <v>235.51</v>
      </c>
      <c r="F101" s="227" t="e">
        <f>VLOOKUP(C101,'Dados de custos'!$B$56:$E$64,4,0)*(1+VLOOKUP(B101,'Dados da empresa'!$B$27:$E$47,MATCH("BDI",'Dados da empresa'!$B$26:$E$26,0)))</f>
        <v>#VALUE!</v>
      </c>
      <c r="G101" s="227" t="e">
        <f t="shared" si="5"/>
        <v>#VALUE!</v>
      </c>
      <c r="H101" s="227" t="e">
        <f>G101*'Dados de custos'!$C$7</f>
        <v>#VALUE!</v>
      </c>
      <c r="I101" s="229" t="s">
        <v>1</v>
      </c>
      <c r="J101" s="227" t="s">
        <v>1</v>
      </c>
      <c r="K101" s="227" t="s">
        <v>1</v>
      </c>
      <c r="L101" s="227" t="s">
        <v>1</v>
      </c>
      <c r="M101" s="227" t="s">
        <v>1</v>
      </c>
      <c r="N101" s="228" t="s">
        <v>1</v>
      </c>
    </row>
    <row r="102" spans="2:14" ht="13.8" thickBot="1" x14ac:dyDescent="0.35">
      <c r="B102" s="236" t="s">
        <v>101</v>
      </c>
      <c r="C102" s="237" t="s">
        <v>6</v>
      </c>
      <c r="D102" s="208" t="s">
        <v>81</v>
      </c>
      <c r="E102" s="238">
        <f>VLOOKUP(B102,'Elem. de fachada + Jard.'!$B$4:$K$24,MATCH('Orçam. analítico'!C102,'Elem. de fachada + Jard.'!$B$3:$K$3,0),0)</f>
        <v>94.33</v>
      </c>
      <c r="F102" s="239" t="e">
        <f>VLOOKUP(C102,'Dados de custos'!$B$56:$E$64,4,0)*(1+VLOOKUP(B102,'Dados da empresa'!$B$27:$E$47,MATCH("BDI",'Dados da empresa'!$B$26:$E$26,0)))</f>
        <v>#VALUE!</v>
      </c>
      <c r="G102" s="239" t="e">
        <f t="shared" si="5"/>
        <v>#VALUE!</v>
      </c>
      <c r="H102" s="239" t="e">
        <f>G102*'Dados de custos'!$C$7</f>
        <v>#VALUE!</v>
      </c>
      <c r="I102" s="241" t="s">
        <v>1</v>
      </c>
      <c r="J102" s="239" t="s">
        <v>1</v>
      </c>
      <c r="K102" s="239" t="s">
        <v>1</v>
      </c>
      <c r="L102" s="239" t="s">
        <v>1</v>
      </c>
      <c r="M102" s="239" t="s">
        <v>1</v>
      </c>
      <c r="N102" s="240" t="s">
        <v>1</v>
      </c>
    </row>
    <row r="103" spans="2:14" x14ac:dyDescent="0.3">
      <c r="B103" s="223" t="s">
        <v>102</v>
      </c>
      <c r="C103" s="224" t="s">
        <v>77</v>
      </c>
      <c r="D103" s="225" t="s">
        <v>80</v>
      </c>
      <c r="E103" s="226">
        <f>VLOOKUP(B103,Postos!$B$4:$E$24,MATCH('Orçam. analítico'!C103,Postos!$B$3:$E$3,0),0)</f>
        <v>1</v>
      </c>
      <c r="F103" s="227" t="e">
        <f>I103+J103+K103+L103+M103+N103</f>
        <v>#VALUE!</v>
      </c>
      <c r="G103" s="227" t="e">
        <f t="shared" si="5"/>
        <v>#VALUE!</v>
      </c>
      <c r="H103" s="227" t="e">
        <f>G103*'Dados de custos'!$C$7</f>
        <v>#VALUE!</v>
      </c>
      <c r="I103" s="229">
        <f>INDEX('Dados de custos'!$C$11:$G$11,MATCH('Orçam. analítico'!C103,'Dados de custos'!$C$10:$G$10,0))</f>
        <v>0</v>
      </c>
      <c r="J103" s="227">
        <f>ROUND(VLOOKUP($B103,'Dados da empresa'!$B$26:$C$47,MATCH($J$4,'Dados da empresa'!$B$26:$C$26,0),FALSE)*'Dados de custos'!$C$6*2,2)+ROUND(-'Dados de custos'!$D$12*0.06,2)+IF(AND('Dados da empresa'!$C$14="Lucro real - Incidência cumulativa de PIS e COFINS",'Dados da empresa'!$C$15="Sim"),-ROUND((ROUND(VLOOKUP($B103,'Dados da empresa'!$B$26:$C$47,MATCH($J$4,'Dados da empresa'!$B$26:$C$26,0),FALSE)* 'Dados de custos'!$C$6*2,2)+ROUND(-'Dados de custos'!$D$12*0.06,2))*0.0925,2),0)</f>
        <v>259.81</v>
      </c>
      <c r="K103" s="227">
        <f>'Dados de custos'!$D$20+'Dados de custos'!$D$26+'Dados de custos'!$D$29+'Dados de custos'!$D$32+'Dados de custos'!$D$35+'Dados de custos'!$D$36</f>
        <v>0</v>
      </c>
      <c r="L103" s="227">
        <f>'Dados de custos'!$D$38</f>
        <v>0</v>
      </c>
      <c r="M103" s="227">
        <f>'Dados de custos'!$D$44</f>
        <v>0</v>
      </c>
      <c r="N103" s="228" t="e">
        <f>ROUND(VLOOKUP($B103,'Dados da empresa'!$B$26:$E$47,MATCH($N$4,'Dados da empresa'!$B$26:$E$26,0),FALSE)*(M103+L103+K103+J103+I103),2)</f>
        <v>#VALUE!</v>
      </c>
    </row>
    <row r="104" spans="2:14" x14ac:dyDescent="0.3">
      <c r="B104" s="230" t="s">
        <v>102</v>
      </c>
      <c r="C104" s="231" t="s">
        <v>158</v>
      </c>
      <c r="D104" s="207" t="s">
        <v>81</v>
      </c>
      <c r="E104" s="232">
        <f>VLOOKUP(B104,'Elem. de fachada + Jard.'!$B$4:$K$24,MATCH('Orçam. analítico'!C104,'Elem. de fachada + Jard.'!$B$3:$K$3,0),0)</f>
        <v>34.96</v>
      </c>
      <c r="F104" s="233" t="e">
        <f>VLOOKUP(C104,'Dados de custos'!$B$56:$E$64,4,0)*(1+VLOOKUP(B104,'Dados da empresa'!$B$27:$E$47,MATCH("BDI",'Dados da empresa'!$B$26:$E$26,0)))</f>
        <v>#VALUE!</v>
      </c>
      <c r="G104" s="233" t="e">
        <f t="shared" si="5"/>
        <v>#VALUE!</v>
      </c>
      <c r="H104" s="233" t="e">
        <f>G104*'Dados de custos'!$C$7</f>
        <v>#VALUE!</v>
      </c>
      <c r="I104" s="235" t="s">
        <v>1</v>
      </c>
      <c r="J104" s="233" t="s">
        <v>1</v>
      </c>
      <c r="K104" s="233" t="s">
        <v>1</v>
      </c>
      <c r="L104" s="233" t="s">
        <v>1</v>
      </c>
      <c r="M104" s="233" t="s">
        <v>1</v>
      </c>
      <c r="N104" s="234" t="s">
        <v>1</v>
      </c>
    </row>
    <row r="105" spans="2:14" ht="13.8" thickBot="1" x14ac:dyDescent="0.35">
      <c r="B105" s="252" t="s">
        <v>102</v>
      </c>
      <c r="C105" s="253" t="s">
        <v>6</v>
      </c>
      <c r="D105" s="254" t="s">
        <v>81</v>
      </c>
      <c r="E105" s="255">
        <f>VLOOKUP(B105,'Elem. de fachada + Jard.'!$B$4:$K$24,MATCH('Orçam. analítico'!C105,'Elem. de fachada + Jard.'!$B$3:$K$3,0),0)</f>
        <v>144.38999999999999</v>
      </c>
      <c r="F105" s="256" t="e">
        <f>VLOOKUP(C105,'Dados de custos'!$B$56:$E$64,4,0)*(1+VLOOKUP(B105,'Dados da empresa'!$B$27:$E$47,MATCH("BDI",'Dados da empresa'!$B$26:$E$26,0)))</f>
        <v>#VALUE!</v>
      </c>
      <c r="G105" s="256" t="e">
        <f t="shared" si="5"/>
        <v>#VALUE!</v>
      </c>
      <c r="H105" s="256" t="e">
        <f>G105*'Dados de custos'!$C$7</f>
        <v>#VALUE!</v>
      </c>
      <c r="I105" s="258" t="s">
        <v>1</v>
      </c>
      <c r="J105" s="256" t="s">
        <v>1</v>
      </c>
      <c r="K105" s="256" t="s">
        <v>1</v>
      </c>
      <c r="L105" s="256" t="s">
        <v>1</v>
      </c>
      <c r="M105" s="256" t="s">
        <v>1</v>
      </c>
      <c r="N105" s="257" t="s">
        <v>1</v>
      </c>
    </row>
    <row r="106" spans="2:14" x14ac:dyDescent="0.3">
      <c r="B106" s="230" t="s">
        <v>103</v>
      </c>
      <c r="C106" s="231" t="s">
        <v>85</v>
      </c>
      <c r="D106" s="207" t="s">
        <v>80</v>
      </c>
      <c r="E106" s="219">
        <f>VLOOKUP(B106,Postos!$B$4:$E$24,MATCH('Orçam. analítico'!C106,Postos!$B$3:$E$3,0),0)</f>
        <v>1</v>
      </c>
      <c r="F106" s="233" t="e">
        <f>I106+J106+K106+L106+M106+N106</f>
        <v>#VALUE!</v>
      </c>
      <c r="G106" s="233" t="e">
        <f t="shared" si="5"/>
        <v>#VALUE!</v>
      </c>
      <c r="H106" s="233" t="e">
        <f>G106*'Dados de custos'!$C$7</f>
        <v>#VALUE!</v>
      </c>
      <c r="I106" s="243">
        <f>INDEX('Dados de custos'!$C$11:$G$11,MATCH('Orçam. analítico'!C106,'Dados de custos'!$C$10:$G$10,0))</f>
        <v>0</v>
      </c>
      <c r="J106" s="233">
        <f>ROUND(VLOOKUP($B106,'Dados da empresa'!$B$26:$C$47,MATCH($J$4,'Dados da empresa'!$B$26:$C$26,0),FALSE)*'Dados de custos'!$C$6*2,2)+ROUND(-'Dados de custos'!$C$12*0.06,2)+IF(AND('Dados da empresa'!$C$14="Lucro real - Incidência cumulativa de PIS e COFINS",'Dados da empresa'!$C$15="Sim"),-ROUND((ROUND(VLOOKUP($B106,'Dados da empresa'!$B$26:$C$47,MATCH($J$4,'Dados da empresa'!$B$26:$C$26,0),FALSE)* 'Dados de custos'!$C$6*2,2)+ROUND(-'Dados de custos'!$C$12*0.06,2))*0.0925,2),0)</f>
        <v>227.94</v>
      </c>
      <c r="K106" s="233">
        <f>'Dados de custos'!$C$20+'Dados de custos'!$C$26+'Dados de custos'!$C$29+'Dados de custos'!$C$32+'Dados de custos'!$C$35+'Dados de custos'!$C$36</f>
        <v>0</v>
      </c>
      <c r="L106" s="233">
        <f>'Dados de custos'!$C$38</f>
        <v>0</v>
      </c>
      <c r="M106" s="233">
        <f>'Dados de custos'!$C$44</f>
        <v>0</v>
      </c>
      <c r="N106" s="221" t="e">
        <f>ROUND(VLOOKUP($B106,'Dados da empresa'!$B$26:$E$47,MATCH($N$4,'Dados da empresa'!$B$26:$E$26,0),FALSE)*(M106+L106+K106+J106+I106),2)</f>
        <v>#VALUE!</v>
      </c>
    </row>
    <row r="107" spans="2:14" x14ac:dyDescent="0.3">
      <c r="B107" s="223" t="s">
        <v>103</v>
      </c>
      <c r="C107" s="224" t="s">
        <v>77</v>
      </c>
      <c r="D107" s="225" t="s">
        <v>80</v>
      </c>
      <c r="E107" s="226">
        <f>VLOOKUP(B107,Postos!$B$4:$E$24,MATCH('Orçam. analítico'!C107,Postos!$B$3:$E$3,0),0)</f>
        <v>1</v>
      </c>
      <c r="F107" s="227" t="e">
        <f>I107+J107+K107+L107+M107+N107</f>
        <v>#VALUE!</v>
      </c>
      <c r="G107" s="227" t="e">
        <f t="shared" si="5"/>
        <v>#VALUE!</v>
      </c>
      <c r="H107" s="227" t="e">
        <f>G107*'Dados de custos'!$C$7</f>
        <v>#VALUE!</v>
      </c>
      <c r="I107" s="229">
        <f>INDEX('Dados de custos'!$C$11:$G$11,MATCH('Orçam. analítico'!C107,'Dados de custos'!$C$10:$G$10,0))</f>
        <v>0</v>
      </c>
      <c r="J107" s="227">
        <f>ROUND(VLOOKUP($B107,'Dados da empresa'!$B$26:$C$47,MATCH($J$4,'Dados da empresa'!$B$26:$C$26,0),FALSE)*'Dados de custos'!$C$6*2,2)+ROUND(-'Dados de custos'!$D$12*0.06,2)+IF(AND('Dados da empresa'!$C$14="Lucro real - Incidência cumulativa de PIS e COFINS",'Dados da empresa'!$C$15="Sim"),-ROUND((ROUND(VLOOKUP($B107,'Dados da empresa'!$B$26:$C$47,MATCH($J$4,'Dados da empresa'!$B$26:$C$26,0),FALSE)* 'Dados de custos'!$C$6*2,2)+ROUND(-'Dados de custos'!$D$12*0.06,2))*0.0925,2),0)</f>
        <v>227.94</v>
      </c>
      <c r="K107" s="227">
        <f>'Dados de custos'!$D$20+'Dados de custos'!$D$26+'Dados de custos'!$D$29+'Dados de custos'!$D$32+'Dados de custos'!$D$35+'Dados de custos'!$D$36</f>
        <v>0</v>
      </c>
      <c r="L107" s="227">
        <f>'Dados de custos'!$D$38</f>
        <v>0</v>
      </c>
      <c r="M107" s="227">
        <f>'Dados de custos'!$D$44</f>
        <v>0</v>
      </c>
      <c r="N107" s="228" t="e">
        <f>ROUND(VLOOKUP($B107,'Dados da empresa'!$B$26:$E$47,MATCH($N$4,'Dados da empresa'!$B$26:$E$26,0),FALSE)*(M107+L107+K107+J107+I107),2)</f>
        <v>#VALUE!</v>
      </c>
    </row>
    <row r="108" spans="2:14" x14ac:dyDescent="0.3">
      <c r="B108" s="230" t="s">
        <v>103</v>
      </c>
      <c r="C108" s="231" t="s">
        <v>158</v>
      </c>
      <c r="D108" s="207" t="s">
        <v>81</v>
      </c>
      <c r="E108" s="232">
        <f>VLOOKUP(B108,'Elem. de fachada + Jard.'!$B$4:$K$24,MATCH('Orçam. analítico'!C108,'Elem. de fachada + Jard.'!$B$3:$K$3,0),0)</f>
        <v>32.51</v>
      </c>
      <c r="F108" s="233" t="e">
        <f>VLOOKUP(C108,'Dados de custos'!$B$56:$E$64,4,0)*(1+VLOOKUP(B108,'Dados da empresa'!$B$27:$E$47,MATCH("BDI",'Dados da empresa'!$B$26:$E$26,0)))</f>
        <v>#VALUE!</v>
      </c>
      <c r="G108" s="233" t="e">
        <f t="shared" si="5"/>
        <v>#VALUE!</v>
      </c>
      <c r="H108" s="233" t="e">
        <f>G108*'Dados de custos'!$C$7</f>
        <v>#VALUE!</v>
      </c>
      <c r="I108" s="235" t="s">
        <v>1</v>
      </c>
      <c r="J108" s="233" t="s">
        <v>1</v>
      </c>
      <c r="K108" s="233" t="s">
        <v>1</v>
      </c>
      <c r="L108" s="233" t="s">
        <v>1</v>
      </c>
      <c r="M108" s="233" t="s">
        <v>1</v>
      </c>
      <c r="N108" s="234" t="s">
        <v>1</v>
      </c>
    </row>
    <row r="109" spans="2:14" x14ac:dyDescent="0.3">
      <c r="B109" s="223" t="s">
        <v>103</v>
      </c>
      <c r="C109" s="224" t="s">
        <v>159</v>
      </c>
      <c r="D109" s="225" t="s">
        <v>81</v>
      </c>
      <c r="E109" s="244">
        <f>VLOOKUP(B109,'Elem. de fachada + Jard.'!$B$4:$K$24,MATCH('Orçam. analítico'!C109,'Elem. de fachada + Jard.'!$B$3:$K$3,0),0)</f>
        <v>50.46</v>
      </c>
      <c r="F109" s="227" t="e">
        <f>VLOOKUP(C109,'Dados de custos'!$B$56:$E$64,4,0)*(1+VLOOKUP(B109,'Dados da empresa'!$B$27:$E$47,MATCH("BDI",'Dados da empresa'!$B$26:$E$26,0)))</f>
        <v>#VALUE!</v>
      </c>
      <c r="G109" s="227" t="e">
        <f t="shared" si="5"/>
        <v>#VALUE!</v>
      </c>
      <c r="H109" s="227" t="e">
        <f>G109*'Dados de custos'!$C$7</f>
        <v>#VALUE!</v>
      </c>
      <c r="I109" s="229" t="s">
        <v>1</v>
      </c>
      <c r="J109" s="227" t="s">
        <v>1</v>
      </c>
      <c r="K109" s="227" t="s">
        <v>1</v>
      </c>
      <c r="L109" s="227" t="s">
        <v>1</v>
      </c>
      <c r="M109" s="227" t="s">
        <v>1</v>
      </c>
      <c r="N109" s="228" t="s">
        <v>1</v>
      </c>
    </row>
    <row r="110" spans="2:14" ht="13.8" thickBot="1" x14ac:dyDescent="0.35">
      <c r="B110" s="236" t="s">
        <v>103</v>
      </c>
      <c r="C110" s="237" t="s">
        <v>6</v>
      </c>
      <c r="D110" s="208" t="s">
        <v>81</v>
      </c>
      <c r="E110" s="238">
        <f>VLOOKUP(B110,'Elem. de fachada + Jard.'!$B$4:$K$24,MATCH('Orçam. analítico'!C110,'Elem. de fachada + Jard.'!$B$3:$K$3,0),0)</f>
        <v>5.44</v>
      </c>
      <c r="F110" s="260" t="e">
        <f>VLOOKUP(C110,'Dados de custos'!$B$56:$E$64,4,0)*(1+VLOOKUP(B110,'Dados da empresa'!$B$27:$E$47,MATCH("BDI",'Dados da empresa'!$B$26:$E$26,0)))</f>
        <v>#VALUE!</v>
      </c>
      <c r="G110" s="260" t="e">
        <f t="shared" si="5"/>
        <v>#VALUE!</v>
      </c>
      <c r="H110" s="260" t="e">
        <f>G110*'Dados de custos'!$C$7</f>
        <v>#VALUE!</v>
      </c>
      <c r="I110" s="241" t="s">
        <v>1</v>
      </c>
      <c r="J110" s="239" t="s">
        <v>1</v>
      </c>
      <c r="K110" s="239" t="s">
        <v>1</v>
      </c>
      <c r="L110" s="239" t="s">
        <v>1</v>
      </c>
      <c r="M110" s="239" t="s">
        <v>1</v>
      </c>
      <c r="N110" s="240" t="s">
        <v>1</v>
      </c>
    </row>
    <row r="111" spans="2:14" ht="13.8" thickBot="1" x14ac:dyDescent="0.35">
      <c r="F111" s="261" t="s">
        <v>2</v>
      </c>
      <c r="G111" s="262" t="e">
        <f>SUM(G5:G110)</f>
        <v>#VALUE!</v>
      </c>
      <c r="H111" s="263" t="e">
        <f>SUM(H5:H110)</f>
        <v>#VALUE!</v>
      </c>
      <c r="I111" s="259"/>
    </row>
    <row r="112" spans="2:14" x14ac:dyDescent="0.3">
      <c r="G112" s="259"/>
    </row>
    <row r="148" spans="6:6" ht="15.85" customHeight="1" x14ac:dyDescent="0.3"/>
    <row r="150" spans="6:6" x14ac:dyDescent="0.3">
      <c r="F150" s="259"/>
    </row>
  </sheetData>
  <sheetProtection sheet="1" selectLockedCells="1"/>
  <mergeCells count="9">
    <mergeCell ref="D3:D4"/>
    <mergeCell ref="C3:C4"/>
    <mergeCell ref="B3:B4"/>
    <mergeCell ref="B2:N2"/>
    <mergeCell ref="I3:N3"/>
    <mergeCell ref="H3:H4"/>
    <mergeCell ref="G3:G4"/>
    <mergeCell ref="F3:F4"/>
    <mergeCell ref="E3:E4"/>
  </mergeCells>
  <pageMargins left="0.25" right="0.25" top="0.75" bottom="0.75" header="0.3" footer="0.3"/>
  <pageSetup scale="3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1:M29"/>
  <sheetViews>
    <sheetView zoomScale="115" zoomScaleNormal="115" workbookViewId="0">
      <selection activeCell="B2" sqref="B2:E2"/>
    </sheetView>
  </sheetViews>
  <sheetFormatPr defaultColWidth="9.109375" defaultRowHeight="15.05" x14ac:dyDescent="0.3"/>
  <cols>
    <col min="1" max="1" width="4" style="24" customWidth="1"/>
    <col min="2" max="2" width="23.109375" style="24" bestFit="1" customWidth="1"/>
    <col min="3" max="3" width="15.44140625" style="24" bestFit="1" customWidth="1"/>
    <col min="4" max="4" width="16.5546875" style="24" bestFit="1" customWidth="1"/>
    <col min="5" max="5" width="8.88671875" style="24" bestFit="1" customWidth="1"/>
    <col min="6" max="6" width="2.88671875" style="24" customWidth="1"/>
    <col min="7" max="7" width="62.88671875" style="24" bestFit="1" customWidth="1"/>
    <col min="8" max="8" width="7.44140625" style="24" bestFit="1" customWidth="1"/>
    <col min="9" max="9" width="10.109375" style="24" bestFit="1" customWidth="1"/>
    <col min="10" max="10" width="12.33203125" style="24" customWidth="1"/>
    <col min="11" max="11" width="12.33203125" style="24" bestFit="1" customWidth="1"/>
    <col min="12" max="12" width="13.88671875" style="24" bestFit="1" customWidth="1"/>
    <col min="13" max="13" width="8.88671875" style="24" bestFit="1" customWidth="1"/>
    <col min="14" max="16384" width="9.109375" style="24"/>
  </cols>
  <sheetData>
    <row r="1" spans="2:13" ht="15.65" thickBot="1" x14ac:dyDescent="0.35"/>
    <row r="2" spans="2:13" ht="15.65" thickBot="1" x14ac:dyDescent="0.35">
      <c r="B2" s="437" t="s">
        <v>166</v>
      </c>
      <c r="C2" s="438"/>
      <c r="D2" s="438"/>
      <c r="E2" s="439"/>
      <c r="G2" s="437" t="s">
        <v>146</v>
      </c>
      <c r="H2" s="438"/>
      <c r="I2" s="438"/>
      <c r="J2" s="438"/>
      <c r="K2" s="438"/>
      <c r="L2" s="438"/>
      <c r="M2" s="439"/>
    </row>
    <row r="3" spans="2:13" ht="26.95" thickBot="1" x14ac:dyDescent="0.35">
      <c r="B3" s="105" t="s">
        <v>0</v>
      </c>
      <c r="C3" s="164" t="s">
        <v>107</v>
      </c>
      <c r="D3" s="164" t="s">
        <v>108</v>
      </c>
      <c r="E3" s="106" t="s">
        <v>110</v>
      </c>
      <c r="F3" s="25"/>
      <c r="G3" s="162" t="s">
        <v>4</v>
      </c>
      <c r="H3" s="163" t="s">
        <v>64</v>
      </c>
      <c r="I3" s="163" t="s">
        <v>79</v>
      </c>
      <c r="J3" s="104" t="s">
        <v>150</v>
      </c>
      <c r="K3" s="104" t="s">
        <v>107</v>
      </c>
      <c r="L3" s="104" t="s">
        <v>121</v>
      </c>
      <c r="M3" s="106" t="s">
        <v>110</v>
      </c>
    </row>
    <row r="4" spans="2:13" x14ac:dyDescent="0.3">
      <c r="B4" s="93" t="s">
        <v>155</v>
      </c>
      <c r="C4" s="87" t="e">
        <f>SUMIFS('Orçam. analítico'!$G$5:$G$110,'Orçam. analítico'!$B$5:$B$110,B4)</f>
        <v>#VALUE!</v>
      </c>
      <c r="D4" s="87" t="e">
        <f>SUMIFS('Orçam. analítico'!$H$5:$H$110,'Orçam. analítico'!$B$5:$B$110,B4)</f>
        <v>#VALUE!</v>
      </c>
      <c r="E4" s="91" t="e">
        <f t="shared" ref="E4:E25" si="0">D4/$D$25</f>
        <v>#VALUE!</v>
      </c>
      <c r="F4" s="25"/>
      <c r="G4" s="314" t="s">
        <v>85</v>
      </c>
      <c r="H4" s="315" t="s">
        <v>80</v>
      </c>
      <c r="I4" s="315">
        <f>SUMIFS('Orçam. analítico'!$E$5:$E$110,'Orçam. analítico'!$C$5:$C$110,G4)</f>
        <v>62</v>
      </c>
      <c r="J4" s="315" t="s">
        <v>67</v>
      </c>
      <c r="K4" s="128" t="e">
        <f>SUMIFS('Orçam. analítico'!$G$5:$G$110,'Orçam. analítico'!$C$5:$C$110,G4)</f>
        <v>#VALUE!</v>
      </c>
      <c r="L4" s="128" t="e">
        <f>SUMIFS('Orçam. analítico'!$H$5:$H$110,'Orçam. analítico'!$C$5:$C$110,G4)</f>
        <v>#VALUE!</v>
      </c>
      <c r="M4" s="319" t="e">
        <f>L4/$L$16</f>
        <v>#VALUE!</v>
      </c>
    </row>
    <row r="5" spans="2:13" x14ac:dyDescent="0.3">
      <c r="B5" s="93" t="s">
        <v>86</v>
      </c>
      <c r="C5" s="87" t="e">
        <f>SUMIFS('Orçam. analítico'!$G$5:$G$110,'Orçam. analítico'!$B$5:$B$110,B5)</f>
        <v>#VALUE!</v>
      </c>
      <c r="D5" s="87" t="e">
        <f>SUMIFS('Orçam. analítico'!$H$5:$H$110,'Orçam. analítico'!$B$5:$B$110,B5)</f>
        <v>#VALUE!</v>
      </c>
      <c r="E5" s="91" t="e">
        <f t="shared" si="0"/>
        <v>#VALUE!</v>
      </c>
      <c r="F5" s="25"/>
      <c r="G5" s="88" t="s">
        <v>77</v>
      </c>
      <c r="H5" s="27" t="s">
        <v>80</v>
      </c>
      <c r="I5" s="27">
        <f>SUMIFS('Orçam. analítico'!$E$5:$E$110,'Orçam. analítico'!$C$5:$C$110,G5)</f>
        <v>20</v>
      </c>
      <c r="J5" s="27" t="s">
        <v>67</v>
      </c>
      <c r="K5" s="84" t="e">
        <f>SUMIFS('Orçam. analítico'!$G$5:$G$110,'Orçam. analítico'!$C$5:$C$110,G5)</f>
        <v>#VALUE!</v>
      </c>
      <c r="L5" s="84" t="e">
        <f>SUMIFS('Orçam. analítico'!$H$5:$H$110,'Orçam. analítico'!$C$5:$C$110,G5)</f>
        <v>#VALUE!</v>
      </c>
      <c r="M5" s="318" t="e">
        <f>L5/$L$16</f>
        <v>#VALUE!</v>
      </c>
    </row>
    <row r="6" spans="2:13" x14ac:dyDescent="0.3">
      <c r="B6" s="110" t="s">
        <v>87</v>
      </c>
      <c r="C6" s="111" t="e">
        <f>SUMIFS('Orçam. analítico'!$G$5:$G$110,'Orçam. analítico'!$B$5:$B$110,B6)</f>
        <v>#VALUE!</v>
      </c>
      <c r="D6" s="111" t="e">
        <f>SUMIFS('Orçam. analítico'!$H$5:$H$110,'Orçam. analítico'!$B$5:$B$110,B6)</f>
        <v>#VALUE!</v>
      </c>
      <c r="E6" s="112" t="e">
        <f t="shared" si="0"/>
        <v>#VALUE!</v>
      </c>
      <c r="F6" s="25"/>
      <c r="G6" s="110" t="s">
        <v>164</v>
      </c>
      <c r="H6" s="108" t="s">
        <v>80</v>
      </c>
      <c r="I6" s="108">
        <f>SUMIFS('Orçam. analítico'!$E$5:$E$110,'Orçam. analítico'!$C$5:$C$110,G6)</f>
        <v>3</v>
      </c>
      <c r="J6" s="108" t="s">
        <v>67</v>
      </c>
      <c r="K6" s="127" t="e">
        <f>SUMIFS('Orçam. analítico'!$G$5:$G$110,'Orçam. analítico'!$C$5:$C$110,G6)</f>
        <v>#VALUE!</v>
      </c>
      <c r="L6" s="109" t="e">
        <f>SUMIFS('Orçam. analítico'!$H$5:$H$110,'Orçam. analítico'!$C$5:$C$110,G6)</f>
        <v>#VALUE!</v>
      </c>
      <c r="M6" s="320" t="e">
        <f>L6/$L$16</f>
        <v>#VALUE!</v>
      </c>
    </row>
    <row r="7" spans="2:13" x14ac:dyDescent="0.3">
      <c r="B7" s="94" t="s">
        <v>105</v>
      </c>
      <c r="C7" s="86" t="e">
        <f>SUMIFS('Orçam. analítico'!$G$5:$G$110,'Orçam. analítico'!$B$5:$B$110,B7)</f>
        <v>#VALUE!</v>
      </c>
      <c r="D7" s="86" t="e">
        <f>SUMIFS('Orçam. analítico'!$H$5:$H$110,'Orçam. analítico'!$B$5:$B$110,B7)</f>
        <v>#VALUE!</v>
      </c>
      <c r="E7" s="92" t="e">
        <f t="shared" si="0"/>
        <v>#VALUE!</v>
      </c>
      <c r="F7" s="25"/>
      <c r="G7" s="88" t="s">
        <v>160</v>
      </c>
      <c r="H7" s="27" t="s">
        <v>81</v>
      </c>
      <c r="I7" s="27">
        <f>SUMIFS('Orçam. analítico'!$E$5:$E$110,'Orçam. analítico'!$C$5:$C$110,G7)</f>
        <v>441.29</v>
      </c>
      <c r="J7" s="27" t="s">
        <v>162</v>
      </c>
      <c r="K7" s="84" t="e">
        <f>SUMIFS('Orçam. analítico'!$G$5:$G$110,'Orçam. analítico'!$C$5:$C$110,G7)</f>
        <v>#VALUE!</v>
      </c>
      <c r="L7" s="84" t="e">
        <f>SUMIFS('Orçam. analítico'!$H$5:$H$110,'Orçam. analítico'!$C$5:$C$110,G7)</f>
        <v>#VALUE!</v>
      </c>
      <c r="M7" s="318" t="e">
        <f t="shared" ref="M7:M8" si="1">L7/$L$16</f>
        <v>#VALUE!</v>
      </c>
    </row>
    <row r="8" spans="2:13" x14ac:dyDescent="0.3">
      <c r="B8" s="110" t="s">
        <v>88</v>
      </c>
      <c r="C8" s="111" t="e">
        <f>SUMIFS('Orçam. analítico'!$G$5:$G$110,'Orçam. analítico'!$B$5:$B$110,B8)</f>
        <v>#VALUE!</v>
      </c>
      <c r="D8" s="111" t="e">
        <f>SUMIFS('Orçam. analítico'!$H$5:$H$110,'Orçam. analítico'!$B$5:$B$110,B8)</f>
        <v>#VALUE!</v>
      </c>
      <c r="E8" s="112" t="e">
        <f t="shared" si="0"/>
        <v>#VALUE!</v>
      </c>
      <c r="F8" s="25"/>
      <c r="G8" s="110" t="s">
        <v>161</v>
      </c>
      <c r="H8" s="108" t="s">
        <v>81</v>
      </c>
      <c r="I8" s="108">
        <f>SUMIFS('Orçam. analítico'!$E$5:$E$110,'Orçam. analítico'!$C$5:$C$110,G8)</f>
        <v>6975.53</v>
      </c>
      <c r="J8" s="108" t="s">
        <v>162</v>
      </c>
      <c r="K8" s="109" t="e">
        <f>SUMIFS('Orçam. analítico'!$G$5:$G$110,'Orçam. analítico'!$C$5:$C$110,G8)</f>
        <v>#VALUE!</v>
      </c>
      <c r="L8" s="109" t="e">
        <f>SUMIFS('Orçam. analítico'!$H$5:$H$110,'Orçam. analítico'!$C$5:$C$110,G8)</f>
        <v>#VALUE!</v>
      </c>
      <c r="M8" s="320" t="e">
        <f t="shared" si="1"/>
        <v>#VALUE!</v>
      </c>
    </row>
    <row r="9" spans="2:13" x14ac:dyDescent="0.3">
      <c r="B9" s="94" t="s">
        <v>89</v>
      </c>
      <c r="C9" s="86" t="e">
        <f>SUMIFS('Orçam. analítico'!$G$5:$G$110,'Orçam. analítico'!$B$5:$B$110,B9)</f>
        <v>#VALUE!</v>
      </c>
      <c r="D9" s="86" t="e">
        <f>SUMIFS('Orçam. analítico'!$H$5:$H$110,'Orçam. analítico'!$B$5:$B$110,B9)</f>
        <v>#VALUE!</v>
      </c>
      <c r="E9" s="92" t="e">
        <f t="shared" si="0"/>
        <v>#VALUE!</v>
      </c>
      <c r="F9" s="25"/>
      <c r="G9" s="88" t="s">
        <v>158</v>
      </c>
      <c r="H9" s="27" t="s">
        <v>81</v>
      </c>
      <c r="I9" s="27">
        <f>SUMIFS('Orçam. analítico'!$E$5:$E$110,'Orçam. analítico'!$C$5:$C$110,G9)</f>
        <v>1517.96</v>
      </c>
      <c r="J9" s="27" t="s">
        <v>3</v>
      </c>
      <c r="K9" s="84" t="e">
        <f>SUMIFS('Orçam. analítico'!$G$5:$G$110,'Orçam. analítico'!$C$5:$C$110,G9)</f>
        <v>#VALUE!</v>
      </c>
      <c r="L9" s="84" t="e">
        <f>SUMIFS('Orçam. analítico'!$H$5:$H$110,'Orçam. analítico'!$C$5:$C$110,G9)</f>
        <v>#VALUE!</v>
      </c>
      <c r="M9" s="318" t="e">
        <f t="shared" ref="M9:M16" si="2">L9/$L$16</f>
        <v>#VALUE!</v>
      </c>
    </row>
    <row r="10" spans="2:13" x14ac:dyDescent="0.3">
      <c r="B10" s="110" t="s">
        <v>90</v>
      </c>
      <c r="C10" s="111" t="e">
        <f>SUMIFS('Orçam. analítico'!$G$5:$G$110,'Orçam. analítico'!$B$5:$B$110,B10)</f>
        <v>#VALUE!</v>
      </c>
      <c r="D10" s="111" t="e">
        <f>SUMIFS('Orçam. analítico'!$H$5:$H$110,'Orçam. analítico'!$B$5:$B$110,B10)</f>
        <v>#VALUE!</v>
      </c>
      <c r="E10" s="112" t="e">
        <f t="shared" si="0"/>
        <v>#VALUE!</v>
      </c>
      <c r="F10" s="25"/>
      <c r="G10" s="110" t="s">
        <v>159</v>
      </c>
      <c r="H10" s="108" t="s">
        <v>81</v>
      </c>
      <c r="I10" s="108">
        <f>SUMIFS('Orçam. analítico'!$E$5:$E$110,'Orçam. analítico'!$C$5:$C$110,G10)</f>
        <v>4114.8900000000003</v>
      </c>
      <c r="J10" s="108" t="s">
        <v>3</v>
      </c>
      <c r="K10" s="109" t="e">
        <f>SUMIFS('Orçam. analítico'!$G$5:$G$110,'Orçam. analítico'!$C$5:$C$110,G10)</f>
        <v>#VALUE!</v>
      </c>
      <c r="L10" s="109" t="e">
        <f>SUMIFS('Orçam. analítico'!$H$5:$H$110,'Orçam. analítico'!$C$5:$C$110,G10)</f>
        <v>#VALUE!</v>
      </c>
      <c r="M10" s="320" t="e">
        <f t="shared" si="2"/>
        <v>#VALUE!</v>
      </c>
    </row>
    <row r="11" spans="2:13" x14ac:dyDescent="0.3">
      <c r="B11" s="94" t="s">
        <v>91</v>
      </c>
      <c r="C11" s="86" t="e">
        <f>SUMIFS('Orçam. analítico'!$G$5:$G$110,'Orçam. analítico'!$B$5:$B$110,B11)</f>
        <v>#VALUE!</v>
      </c>
      <c r="D11" s="86" t="e">
        <f>SUMIFS('Orçam. analítico'!$H$5:$H$110,'Orçam. analítico'!$B$5:$B$110,B11)</f>
        <v>#VALUE!</v>
      </c>
      <c r="E11" s="92" t="e">
        <f t="shared" si="0"/>
        <v>#VALUE!</v>
      </c>
      <c r="F11" s="25"/>
      <c r="G11" s="88" t="s">
        <v>73</v>
      </c>
      <c r="H11" s="27" t="s">
        <v>81</v>
      </c>
      <c r="I11" s="27">
        <f>SUMIFS('Orçam. analítico'!$E$5:$E$110,'Orçam. analítico'!$C$5:$C$110,G11)</f>
        <v>61.87</v>
      </c>
      <c r="J11" s="27" t="s">
        <v>3</v>
      </c>
      <c r="K11" s="84" t="e">
        <f>SUMIFS('Orçam. analítico'!$G$5:$G$110,'Orçam. analítico'!$C$5:$C$110,G11)</f>
        <v>#VALUE!</v>
      </c>
      <c r="L11" s="84" t="e">
        <f>SUMIFS('Orçam. analítico'!$H$5:$H$110,'Orçam. analítico'!$C$5:$C$110,G11)</f>
        <v>#VALUE!</v>
      </c>
      <c r="M11" s="318" t="e">
        <f t="shared" si="2"/>
        <v>#VALUE!</v>
      </c>
    </row>
    <row r="12" spans="2:13" x14ac:dyDescent="0.3">
      <c r="B12" s="110" t="s">
        <v>104</v>
      </c>
      <c r="C12" s="111" t="e">
        <f>SUMIFS('Orçam. analítico'!$G$5:$G$110,'Orçam. analítico'!$B$5:$B$110,B12)</f>
        <v>#VALUE!</v>
      </c>
      <c r="D12" s="111" t="e">
        <f>SUMIFS('Orçam. analítico'!$H$5:$H$110,'Orçam. analítico'!$B$5:$B$110,B12)</f>
        <v>#VALUE!</v>
      </c>
      <c r="E12" s="112" t="e">
        <f t="shared" si="0"/>
        <v>#VALUE!</v>
      </c>
      <c r="F12" s="25"/>
      <c r="G12" s="110" t="s">
        <v>74</v>
      </c>
      <c r="H12" s="108" t="s">
        <v>81</v>
      </c>
      <c r="I12" s="108">
        <f>SUMIFS('Orçam. analítico'!$E$5:$E$110,'Orçam. analítico'!$C$5:$C$110,G12)</f>
        <v>798.62</v>
      </c>
      <c r="J12" s="108" t="s">
        <v>3</v>
      </c>
      <c r="K12" s="109" t="e">
        <f>SUMIFS('Orçam. analítico'!$G$5:$G$110,'Orçam. analítico'!$C$5:$C$110,G12)</f>
        <v>#VALUE!</v>
      </c>
      <c r="L12" s="109" t="e">
        <f>SUMIFS('Orçam. analítico'!$H$5:$H$110,'Orçam. analítico'!$C$5:$C$110,G12)</f>
        <v>#VALUE!</v>
      </c>
      <c r="M12" s="320" t="e">
        <f t="shared" si="2"/>
        <v>#VALUE!</v>
      </c>
    </row>
    <row r="13" spans="2:13" x14ac:dyDescent="0.3">
      <c r="B13" s="94" t="s">
        <v>92</v>
      </c>
      <c r="C13" s="86" t="e">
        <f>SUMIFS('Orçam. analítico'!$G$5:$G$110,'Orçam. analítico'!$B$5:$B$110,B13)</f>
        <v>#VALUE!</v>
      </c>
      <c r="D13" s="86" t="e">
        <f>SUMIFS('Orçam. analítico'!$H$5:$H$110,'Orçam. analítico'!$B$5:$B$110,B13)</f>
        <v>#VALUE!</v>
      </c>
      <c r="E13" s="92" t="e">
        <f t="shared" si="0"/>
        <v>#VALUE!</v>
      </c>
      <c r="F13" s="25"/>
      <c r="G13" s="88" t="s">
        <v>75</v>
      </c>
      <c r="H13" s="27" t="s">
        <v>81</v>
      </c>
      <c r="I13" s="27">
        <f>SUMIFS('Orçam. analítico'!$E$5:$E$110,'Orçam. analítico'!$C$5:$C$110,G13)</f>
        <v>6.3</v>
      </c>
      <c r="J13" s="27" t="s">
        <v>3</v>
      </c>
      <c r="K13" s="84" t="e">
        <f>SUMIFS('Orçam. analítico'!$G$5:$G$110,'Orçam. analítico'!$C$5:$C$110,G13)</f>
        <v>#VALUE!</v>
      </c>
      <c r="L13" s="84" t="e">
        <f>SUMIFS('Orçam. analítico'!$H$5:$H$110,'Orçam. analítico'!$C$5:$C$110,G13)</f>
        <v>#VALUE!</v>
      </c>
      <c r="M13" s="318" t="e">
        <f t="shared" si="2"/>
        <v>#VALUE!</v>
      </c>
    </row>
    <row r="14" spans="2:13" x14ac:dyDescent="0.3">
      <c r="B14" s="110" t="s">
        <v>93</v>
      </c>
      <c r="C14" s="111" t="e">
        <f>SUMIFS('Orçam. analítico'!$G$5:$G$110,'Orçam. analítico'!$B$5:$B$110,B14)</f>
        <v>#VALUE!</v>
      </c>
      <c r="D14" s="111" t="e">
        <f>SUMIFS('Orçam. analítico'!$H$5:$H$110,'Orçam. analítico'!$B$5:$B$110,B14)</f>
        <v>#VALUE!</v>
      </c>
      <c r="E14" s="112" t="e">
        <f t="shared" si="0"/>
        <v>#VALUE!</v>
      </c>
      <c r="F14" s="25"/>
      <c r="G14" s="267" t="s">
        <v>76</v>
      </c>
      <c r="H14" s="108" t="s">
        <v>81</v>
      </c>
      <c r="I14" s="108">
        <f>SUMIFS('Orçam. analítico'!$E$5:$E$110,'Orçam. analítico'!$C$5:$C$110,G14)</f>
        <v>90.34</v>
      </c>
      <c r="J14" s="108" t="s">
        <v>3</v>
      </c>
      <c r="K14" s="109" t="e">
        <f>SUMIFS('Orçam. analítico'!$G$5:$G$110,'Orçam. analítico'!$C$5:$C$110,G14)</f>
        <v>#VALUE!</v>
      </c>
      <c r="L14" s="109" t="e">
        <f>SUMIFS('Orçam. analítico'!$H$5:$H$110,'Orçam. analítico'!$C$5:$C$110,G14)</f>
        <v>#VALUE!</v>
      </c>
      <c r="M14" s="320" t="e">
        <f t="shared" si="2"/>
        <v>#VALUE!</v>
      </c>
    </row>
    <row r="15" spans="2:13" ht="15.65" thickBot="1" x14ac:dyDescent="0.35">
      <c r="B15" s="94" t="s">
        <v>94</v>
      </c>
      <c r="C15" s="86" t="e">
        <f>SUMIFS('Orçam. analítico'!$G$5:$G$110,'Orçam. analítico'!$B$5:$B$110,B15)</f>
        <v>#VALUE!</v>
      </c>
      <c r="D15" s="86" t="e">
        <f>SUMIFS('Orçam. analítico'!$H$5:$H$110,'Orçam. analítico'!$B$5:$B$110,B15)</f>
        <v>#VALUE!</v>
      </c>
      <c r="E15" s="92" t="e">
        <f t="shared" si="0"/>
        <v>#VALUE!</v>
      </c>
      <c r="F15" s="25"/>
      <c r="G15" s="264" t="s">
        <v>6</v>
      </c>
      <c r="H15" s="265" t="s">
        <v>81</v>
      </c>
      <c r="I15" s="265">
        <f>SUMIFS('Orçam. analítico'!$E$5:$E$110,'Orçam. analítico'!$C$5:$C$110,G15)</f>
        <v>7713.69</v>
      </c>
      <c r="J15" s="265" t="s">
        <v>67</v>
      </c>
      <c r="K15" s="266" t="e">
        <f>SUMIFS('Orçam. analítico'!$G$5:$G$110,'Orçam. analítico'!$C$5:$C$110,G15)</f>
        <v>#VALUE!</v>
      </c>
      <c r="L15" s="266" t="e">
        <f>SUMIFS('Orçam. analítico'!$H$5:$H$110,'Orçam. analítico'!$C$5:$C$110,G15)</f>
        <v>#VALUE!</v>
      </c>
      <c r="M15" s="321" t="e">
        <f t="shared" si="2"/>
        <v>#VALUE!</v>
      </c>
    </row>
    <row r="16" spans="2:13" ht="16.3" thickTop="1" thickBot="1" x14ac:dyDescent="0.35">
      <c r="B16" s="110" t="s">
        <v>95</v>
      </c>
      <c r="C16" s="111" t="e">
        <f>SUMIFS('Orçam. analítico'!$G$5:$G$110,'Orçam. analítico'!$B$5:$B$110,B16)</f>
        <v>#VALUE!</v>
      </c>
      <c r="D16" s="111" t="e">
        <f>SUMIFS('Orçam. analítico'!$H$5:$H$110,'Orçam. analítico'!$B$5:$B$110,B16)</f>
        <v>#VALUE!</v>
      </c>
      <c r="E16" s="112" t="e">
        <f t="shared" si="0"/>
        <v>#VALUE!</v>
      </c>
      <c r="F16" s="25"/>
      <c r="G16" s="434" t="s">
        <v>2</v>
      </c>
      <c r="H16" s="435"/>
      <c r="I16" s="436"/>
      <c r="J16" s="268"/>
      <c r="K16" s="269" t="e">
        <f>SUM(K4:K15)</f>
        <v>#VALUE!</v>
      </c>
      <c r="L16" s="270" t="e">
        <f>SUM(L4:L15)</f>
        <v>#VALUE!</v>
      </c>
      <c r="M16" s="271" t="e">
        <f t="shared" si="2"/>
        <v>#VALUE!</v>
      </c>
    </row>
    <row r="17" spans="2:11" x14ac:dyDescent="0.3">
      <c r="B17" s="94" t="s">
        <v>96</v>
      </c>
      <c r="C17" s="86" t="e">
        <f>SUMIFS('Orçam. analítico'!$G$5:$G$110,'Orçam. analítico'!$B$5:$B$110,B17)</f>
        <v>#VALUE!</v>
      </c>
      <c r="D17" s="86" t="e">
        <f>SUMIFS('Orçam. analítico'!$H$5:$H$110,'Orçam. analítico'!$B$5:$B$110,B17)</f>
        <v>#VALUE!</v>
      </c>
      <c r="E17" s="92" t="e">
        <f t="shared" si="0"/>
        <v>#VALUE!</v>
      </c>
      <c r="F17" s="25"/>
    </row>
    <row r="18" spans="2:11" x14ac:dyDescent="0.3">
      <c r="B18" s="110" t="s">
        <v>97</v>
      </c>
      <c r="C18" s="111" t="e">
        <f>SUMIFS('Orçam. analítico'!$G$5:$G$110,'Orçam. analítico'!$B$5:$B$110,B18)</f>
        <v>#VALUE!</v>
      </c>
      <c r="D18" s="111" t="e">
        <f>SUMIFS('Orçam. analítico'!$H$5:$H$110,'Orçam. analítico'!$B$5:$B$110,B18)</f>
        <v>#VALUE!</v>
      </c>
      <c r="E18" s="112" t="e">
        <f t="shared" si="0"/>
        <v>#VALUE!</v>
      </c>
      <c r="F18" s="25"/>
    </row>
    <row r="19" spans="2:11" x14ac:dyDescent="0.3">
      <c r="B19" s="94" t="s">
        <v>98</v>
      </c>
      <c r="C19" s="86" t="e">
        <f>SUMIFS('Orçam. analítico'!$G$5:$G$110,'Orçam. analítico'!$B$5:$B$110,B19)</f>
        <v>#VALUE!</v>
      </c>
      <c r="D19" s="86" t="e">
        <f>SUMIFS('Orçam. analítico'!$H$5:$H$110,'Orçam. analítico'!$B$5:$B$110,B19)</f>
        <v>#VALUE!</v>
      </c>
      <c r="E19" s="92" t="e">
        <f t="shared" si="0"/>
        <v>#VALUE!</v>
      </c>
      <c r="F19" s="25"/>
    </row>
    <row r="20" spans="2:11" x14ac:dyDescent="0.3">
      <c r="B20" s="110" t="s">
        <v>99</v>
      </c>
      <c r="C20" s="111" t="e">
        <f>SUMIFS('Orçam. analítico'!$G$5:$G$110,'Orçam. analítico'!$B$5:$B$110,B20)</f>
        <v>#VALUE!</v>
      </c>
      <c r="D20" s="111" t="e">
        <f>SUMIFS('Orçam. analítico'!$H$5:$H$110,'Orçam. analítico'!$B$5:$B$110,B20)</f>
        <v>#VALUE!</v>
      </c>
      <c r="E20" s="112" t="e">
        <f t="shared" si="0"/>
        <v>#VALUE!</v>
      </c>
      <c r="F20" s="25"/>
      <c r="K20" s="158"/>
    </row>
    <row r="21" spans="2:11" x14ac:dyDescent="0.3">
      <c r="B21" s="94" t="s">
        <v>100</v>
      </c>
      <c r="C21" s="86" t="e">
        <f>SUMIFS('Orçam. analítico'!$G$5:$G$110,'Orçam. analítico'!$B$5:$B$110,B21)</f>
        <v>#VALUE!</v>
      </c>
      <c r="D21" s="86" t="e">
        <f>SUMIFS('Orçam. analítico'!$H$5:$H$110,'Orçam. analítico'!$B$5:$B$110,B21)</f>
        <v>#VALUE!</v>
      </c>
      <c r="E21" s="92" t="e">
        <f t="shared" si="0"/>
        <v>#VALUE!</v>
      </c>
      <c r="F21" s="25"/>
      <c r="K21" s="159"/>
    </row>
    <row r="22" spans="2:11" x14ac:dyDescent="0.3">
      <c r="B22" s="110" t="s">
        <v>101</v>
      </c>
      <c r="C22" s="111" t="e">
        <f>SUMIFS('Orçam. analítico'!$G$5:$G$110,'Orçam. analítico'!$B$5:$B$110,B22)</f>
        <v>#VALUE!</v>
      </c>
      <c r="D22" s="111" t="e">
        <f>SUMIFS('Orçam. analítico'!$H$5:$H$110,'Orçam. analítico'!$B$5:$B$110,B22)</f>
        <v>#VALUE!</v>
      </c>
      <c r="E22" s="112" t="e">
        <f t="shared" si="0"/>
        <v>#VALUE!</v>
      </c>
      <c r="F22" s="25"/>
    </row>
    <row r="23" spans="2:11" x14ac:dyDescent="0.3">
      <c r="B23" s="94" t="s">
        <v>102</v>
      </c>
      <c r="C23" s="86" t="e">
        <f>SUMIFS('Orçam. analítico'!$G$5:$G$110,'Orçam. analítico'!$B$5:$B$110,B23)</f>
        <v>#VALUE!</v>
      </c>
      <c r="D23" s="86" t="e">
        <f>SUMIFS('Orçam. analítico'!$H$5:$H$110,'Orçam. analítico'!$B$5:$B$110,B23)</f>
        <v>#VALUE!</v>
      </c>
      <c r="E23" s="92" t="e">
        <f t="shared" si="0"/>
        <v>#VALUE!</v>
      </c>
      <c r="F23" s="25"/>
    </row>
    <row r="24" spans="2:11" ht="15.65" thickBot="1" x14ac:dyDescent="0.35">
      <c r="B24" s="113" t="s">
        <v>103</v>
      </c>
      <c r="C24" s="114" t="e">
        <f>SUMIFS('Orçam. analítico'!$G$5:$G$110,'Orçam. analítico'!$B$5:$B$110,B24)</f>
        <v>#VALUE!</v>
      </c>
      <c r="D24" s="114" t="e">
        <f>SUMIFS('Orçam. analítico'!$H$5:$H$110,'Orçam. analítico'!$B$5:$B$110,B24)</f>
        <v>#VALUE!</v>
      </c>
      <c r="E24" s="115" t="e">
        <f t="shared" si="0"/>
        <v>#VALUE!</v>
      </c>
      <c r="F24" s="25"/>
    </row>
    <row r="25" spans="2:11" ht="16.3" thickTop="1" thickBot="1" x14ac:dyDescent="0.35">
      <c r="B25" s="95" t="s">
        <v>2</v>
      </c>
      <c r="C25" s="96" t="e">
        <f>SUM(C4:C24)</f>
        <v>#VALUE!</v>
      </c>
      <c r="D25" s="96" t="e">
        <f>SUM(D4:D24)</f>
        <v>#VALUE!</v>
      </c>
      <c r="E25" s="98" t="e">
        <f t="shared" si="0"/>
        <v>#VALUE!</v>
      </c>
      <c r="F25" s="25"/>
    </row>
    <row r="26" spans="2:11" x14ac:dyDescent="0.3">
      <c r="F26" s="25"/>
    </row>
    <row r="27" spans="2:11" x14ac:dyDescent="0.3">
      <c r="F27" s="25"/>
    </row>
    <row r="28" spans="2:11" x14ac:dyDescent="0.3">
      <c r="C28" s="99"/>
      <c r="F28" s="25"/>
    </row>
    <row r="29" spans="2:11" x14ac:dyDescent="0.3">
      <c r="F29" s="25"/>
    </row>
  </sheetData>
  <sheetProtection sheet="1" selectLockedCells="1"/>
  <mergeCells count="3">
    <mergeCell ref="G16:I16"/>
    <mergeCell ref="G2:M2"/>
    <mergeCell ref="B2:E2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G17"/>
  <sheetViews>
    <sheetView workbookViewId="0">
      <selection activeCell="B2" sqref="B2:G2"/>
    </sheetView>
  </sheetViews>
  <sheetFormatPr defaultColWidth="9.109375" defaultRowHeight="15.05" x14ac:dyDescent="0.3"/>
  <cols>
    <col min="1" max="1" width="2.88671875" style="24" customWidth="1"/>
    <col min="2" max="6" width="14.88671875" style="116" customWidth="1"/>
    <col min="7" max="7" width="14.109375" style="24" customWidth="1"/>
    <col min="8" max="16384" width="9.109375" style="24"/>
  </cols>
  <sheetData>
    <row r="1" spans="2:7" ht="15.65" thickBot="1" x14ac:dyDescent="0.35"/>
    <row r="2" spans="2:7" ht="15.65" thickBot="1" x14ac:dyDescent="0.35">
      <c r="B2" s="444" t="s">
        <v>127</v>
      </c>
      <c r="C2" s="445"/>
      <c r="D2" s="445"/>
      <c r="E2" s="445"/>
      <c r="F2" s="445"/>
      <c r="G2" s="446"/>
    </row>
    <row r="3" spans="2:7" ht="15.05" customHeight="1" x14ac:dyDescent="0.3">
      <c r="B3" s="440" t="s">
        <v>128</v>
      </c>
      <c r="C3" s="449" t="s">
        <v>65</v>
      </c>
      <c r="D3" s="450"/>
      <c r="E3" s="451"/>
      <c r="F3" s="442" t="s">
        <v>129</v>
      </c>
      <c r="G3" s="447" t="s">
        <v>148</v>
      </c>
    </row>
    <row r="4" spans="2:7" ht="15.65" thickBot="1" x14ac:dyDescent="0.35">
      <c r="B4" s="441"/>
      <c r="C4" s="135" t="s">
        <v>67</v>
      </c>
      <c r="D4" s="135" t="s">
        <v>3</v>
      </c>
      <c r="E4" s="295" t="s">
        <v>162</v>
      </c>
      <c r="F4" s="443"/>
      <c r="G4" s="448"/>
    </row>
    <row r="5" spans="2:7" x14ac:dyDescent="0.3">
      <c r="B5" s="129">
        <v>1</v>
      </c>
      <c r="C5" s="90" t="e">
        <f>'Orçam. sintético'!$K$4+'Orçam. sintético'!$K$5+'Orçam. sintético'!$K$6+'Orçam. sintético'!$K$15</f>
        <v>#VALUE!</v>
      </c>
      <c r="D5" s="90">
        <v>0</v>
      </c>
      <c r="E5" s="296">
        <v>0</v>
      </c>
      <c r="F5" s="151" t="e">
        <f>D5+C5+E5</f>
        <v>#VALUE!</v>
      </c>
      <c r="G5" s="147" t="e">
        <f>F5/$F$17</f>
        <v>#VALUE!</v>
      </c>
    </row>
    <row r="6" spans="2:7" x14ac:dyDescent="0.3">
      <c r="B6" s="130">
        <v>2</v>
      </c>
      <c r="C6" s="128" t="e">
        <f>'Orçam. sintético'!$K$4+'Orçam. sintético'!$K$5+'Orçam. sintético'!$K$6+'Orçam. sintético'!$K$15</f>
        <v>#VALUE!</v>
      </c>
      <c r="D6" s="109">
        <v>0</v>
      </c>
      <c r="E6" s="297">
        <v>0</v>
      </c>
      <c r="F6" s="152" t="e">
        <f t="shared" ref="F6:F16" si="0">D6+C6+E6</f>
        <v>#VALUE!</v>
      </c>
      <c r="G6" s="148" t="e">
        <f t="shared" ref="G6:G17" si="1">F6/$F$17</f>
        <v>#VALUE!</v>
      </c>
    </row>
    <row r="7" spans="2:7" x14ac:dyDescent="0.3">
      <c r="B7" s="131">
        <v>3</v>
      </c>
      <c r="C7" s="85" t="e">
        <f>'Orçam. sintético'!$K$4+'Orçam. sintético'!$K$5+'Orçam. sintético'!$K$6+'Orçam. sintético'!$K$15</f>
        <v>#VALUE!</v>
      </c>
      <c r="D7" s="84" t="e">
        <f>3*SUM('Orçam. sintético'!$K$9:$K$14)</f>
        <v>#VALUE!</v>
      </c>
      <c r="E7" s="298">
        <v>0</v>
      </c>
      <c r="F7" s="153" t="e">
        <f t="shared" si="0"/>
        <v>#VALUE!</v>
      </c>
      <c r="G7" s="149" t="e">
        <f t="shared" si="1"/>
        <v>#VALUE!</v>
      </c>
    </row>
    <row r="8" spans="2:7" x14ac:dyDescent="0.3">
      <c r="B8" s="130">
        <v>4</v>
      </c>
      <c r="C8" s="128" t="e">
        <f>'Orçam. sintético'!$K$4+'Orçam. sintético'!$K$5+'Orçam. sintético'!$K$6+'Orçam. sintético'!$K$15</f>
        <v>#VALUE!</v>
      </c>
      <c r="D8" s="109">
        <v>0</v>
      </c>
      <c r="E8" s="297">
        <v>0</v>
      </c>
      <c r="F8" s="152" t="e">
        <f t="shared" si="0"/>
        <v>#VALUE!</v>
      </c>
      <c r="G8" s="148" t="e">
        <f t="shared" si="1"/>
        <v>#VALUE!</v>
      </c>
    </row>
    <row r="9" spans="2:7" x14ac:dyDescent="0.3">
      <c r="B9" s="131">
        <v>5</v>
      </c>
      <c r="C9" s="85" t="e">
        <f>'Orçam. sintético'!$K$4+'Orçam. sintético'!$K$5+'Orçam. sintético'!$K$6+'Orçam. sintético'!$K$15</f>
        <v>#VALUE!</v>
      </c>
      <c r="D9" s="85">
        <v>0</v>
      </c>
      <c r="E9" s="299">
        <v>0</v>
      </c>
      <c r="F9" s="154" t="e">
        <f t="shared" si="0"/>
        <v>#VALUE!</v>
      </c>
      <c r="G9" s="147" t="e">
        <f t="shared" si="1"/>
        <v>#VALUE!</v>
      </c>
    </row>
    <row r="10" spans="2:7" x14ac:dyDescent="0.3">
      <c r="B10" s="130">
        <v>6</v>
      </c>
      <c r="C10" s="128" t="e">
        <f>'Orçam. sintético'!$K$4+'Orçam. sintético'!$K$5+'Orçam. sintético'!$K$6+'Orçam. sintético'!$K$15</f>
        <v>#VALUE!</v>
      </c>
      <c r="D10" s="109" t="e">
        <f>3*SUM('Orçam. sintético'!$K$9:$K$14)</f>
        <v>#VALUE!</v>
      </c>
      <c r="E10" s="297" t="e">
        <f>6*SUM('Orçam. sintético'!$K$7:$K$8)</f>
        <v>#VALUE!</v>
      </c>
      <c r="F10" s="152" t="e">
        <f t="shared" si="0"/>
        <v>#VALUE!</v>
      </c>
      <c r="G10" s="148" t="e">
        <f t="shared" si="1"/>
        <v>#VALUE!</v>
      </c>
    </row>
    <row r="11" spans="2:7" x14ac:dyDescent="0.3">
      <c r="B11" s="131">
        <v>7</v>
      </c>
      <c r="C11" s="85" t="e">
        <f>'Orçam. sintético'!$K$4+'Orçam. sintético'!$K$5+'Orçam. sintético'!$K$6+'Orçam. sintético'!$K$15</f>
        <v>#VALUE!</v>
      </c>
      <c r="D11" s="84">
        <v>0</v>
      </c>
      <c r="E11" s="298">
        <v>0</v>
      </c>
      <c r="F11" s="153" t="e">
        <f t="shared" si="0"/>
        <v>#VALUE!</v>
      </c>
      <c r="G11" s="149" t="e">
        <f t="shared" si="1"/>
        <v>#VALUE!</v>
      </c>
    </row>
    <row r="12" spans="2:7" x14ac:dyDescent="0.3">
      <c r="B12" s="130">
        <v>8</v>
      </c>
      <c r="C12" s="128" t="e">
        <f>'Orçam. sintético'!$K$4+'Orçam. sintético'!$K$5+'Orçam. sintético'!$K$6+'Orçam. sintético'!$K$15</f>
        <v>#VALUE!</v>
      </c>
      <c r="D12" s="109">
        <v>0</v>
      </c>
      <c r="E12" s="297">
        <v>0</v>
      </c>
      <c r="F12" s="152" t="e">
        <f t="shared" si="0"/>
        <v>#VALUE!</v>
      </c>
      <c r="G12" s="148" t="e">
        <f t="shared" si="1"/>
        <v>#VALUE!</v>
      </c>
    </row>
    <row r="13" spans="2:7" x14ac:dyDescent="0.3">
      <c r="B13" s="131">
        <v>9</v>
      </c>
      <c r="C13" s="85" t="e">
        <f>'Orçam. sintético'!$K$4+'Orçam. sintético'!$K$5+'Orçam. sintético'!$K$6+'Orçam. sintético'!$K$15</f>
        <v>#VALUE!</v>
      </c>
      <c r="D13" s="85" t="e">
        <f>3*SUM('Orçam. sintético'!$K$9:$K$14)</f>
        <v>#VALUE!</v>
      </c>
      <c r="E13" s="299">
        <v>0</v>
      </c>
      <c r="F13" s="154" t="e">
        <f t="shared" si="0"/>
        <v>#VALUE!</v>
      </c>
      <c r="G13" s="147" t="e">
        <f t="shared" si="1"/>
        <v>#VALUE!</v>
      </c>
    </row>
    <row r="14" spans="2:7" x14ac:dyDescent="0.3">
      <c r="B14" s="130">
        <v>10</v>
      </c>
      <c r="C14" s="128" t="e">
        <f>'Orçam. sintético'!$K$4+'Orçam. sintético'!$K$5+'Orçam. sintético'!$K$6+'Orçam. sintético'!$K$15</f>
        <v>#VALUE!</v>
      </c>
      <c r="D14" s="109">
        <v>0</v>
      </c>
      <c r="E14" s="297">
        <v>0</v>
      </c>
      <c r="F14" s="152" t="e">
        <f t="shared" si="0"/>
        <v>#VALUE!</v>
      </c>
      <c r="G14" s="148" t="e">
        <f t="shared" si="1"/>
        <v>#VALUE!</v>
      </c>
    </row>
    <row r="15" spans="2:7" x14ac:dyDescent="0.3">
      <c r="B15" s="131">
        <v>11</v>
      </c>
      <c r="C15" s="85" t="e">
        <f>'Orçam. sintético'!$K$4+'Orçam. sintético'!$K$5+'Orçam. sintético'!$K$6+'Orçam. sintético'!$K$15</f>
        <v>#VALUE!</v>
      </c>
      <c r="D15" s="84">
        <v>0</v>
      </c>
      <c r="E15" s="298">
        <v>0</v>
      </c>
      <c r="F15" s="153" t="e">
        <f t="shared" si="0"/>
        <v>#VALUE!</v>
      </c>
      <c r="G15" s="149" t="e">
        <f t="shared" si="1"/>
        <v>#VALUE!</v>
      </c>
    </row>
    <row r="16" spans="2:7" ht="15.65" thickBot="1" x14ac:dyDescent="0.35">
      <c r="B16" s="132">
        <v>12</v>
      </c>
      <c r="C16" s="133" t="e">
        <f>'Orçam. sintético'!$K$4+'Orçam. sintético'!$K$5+'Orçam. sintético'!$K$6+'Orçam. sintético'!$K$15</f>
        <v>#VALUE!</v>
      </c>
      <c r="D16" s="301" t="e">
        <f>3*SUM('Orçam. sintético'!$K$9:$K$14)</f>
        <v>#VALUE!</v>
      </c>
      <c r="E16" s="300" t="e">
        <f>6*SUM('Orçam. sintético'!$K$7:$K$8)</f>
        <v>#VALUE!</v>
      </c>
      <c r="F16" s="155" t="e">
        <f t="shared" si="0"/>
        <v>#VALUE!</v>
      </c>
      <c r="G16" s="150" t="e">
        <f t="shared" si="1"/>
        <v>#VALUE!</v>
      </c>
    </row>
    <row r="17" spans="2:7" ht="16.3" thickTop="1" thickBot="1" x14ac:dyDescent="0.35">
      <c r="B17" s="134" t="s">
        <v>2</v>
      </c>
      <c r="C17" s="97" t="e">
        <f>SUM(C5:C16)</f>
        <v>#VALUE!</v>
      </c>
      <c r="D17" s="97" t="e">
        <f>SUM(D5:D16)</f>
        <v>#VALUE!</v>
      </c>
      <c r="E17" s="156" t="e">
        <f>SUM(E5:E16)</f>
        <v>#VALUE!</v>
      </c>
      <c r="F17" s="302" t="e">
        <f>SUM(F5:F16)</f>
        <v>#VALUE!</v>
      </c>
      <c r="G17" s="157" t="e">
        <f t="shared" si="1"/>
        <v>#VALUE!</v>
      </c>
    </row>
  </sheetData>
  <sheetProtection sheet="1" selectLockedCells="1"/>
  <mergeCells count="5">
    <mergeCell ref="B3:B4"/>
    <mergeCell ref="F3:F4"/>
    <mergeCell ref="B2:G2"/>
    <mergeCell ref="G3:G4"/>
    <mergeCell ref="C3:E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6">
    <pageSetUpPr fitToPage="1"/>
  </sheetPr>
  <dimension ref="B1:F25"/>
  <sheetViews>
    <sheetView workbookViewId="0">
      <selection activeCell="H3" sqref="H3:I3"/>
    </sheetView>
  </sheetViews>
  <sheetFormatPr defaultRowHeight="15.05" x14ac:dyDescent="0.3"/>
  <cols>
    <col min="1" max="1" width="4" customWidth="1"/>
    <col min="2" max="2" width="25.88671875" style="74" bestFit="1" customWidth="1"/>
    <col min="3" max="3" width="22.44140625" bestFit="1" customWidth="1"/>
    <col min="4" max="4" width="22.5546875" bestFit="1" customWidth="1"/>
    <col min="5" max="5" width="22.5546875" customWidth="1"/>
    <col min="7" max="7" width="23.109375" bestFit="1" customWidth="1"/>
    <col min="8" max="8" width="9.88671875" bestFit="1" customWidth="1"/>
  </cols>
  <sheetData>
    <row r="1" spans="2:6" ht="15.65" thickBot="1" x14ac:dyDescent="0.35"/>
    <row r="2" spans="2:6" ht="15.65" thickBot="1" x14ac:dyDescent="0.35">
      <c r="B2" s="452" t="s">
        <v>157</v>
      </c>
      <c r="C2" s="453"/>
      <c r="D2" s="453"/>
      <c r="E2" s="453"/>
      <c r="F2" s="454"/>
    </row>
    <row r="3" spans="2:6" ht="30.05" customHeight="1" thickBot="1" x14ac:dyDescent="0.35">
      <c r="B3" s="28" t="s">
        <v>0</v>
      </c>
      <c r="C3" s="72" t="s">
        <v>85</v>
      </c>
      <c r="D3" s="100" t="s">
        <v>77</v>
      </c>
      <c r="E3" s="289" t="s">
        <v>164</v>
      </c>
      <c r="F3" s="317" t="s">
        <v>2</v>
      </c>
    </row>
    <row r="4" spans="2:6" x14ac:dyDescent="0.3">
      <c r="B4" s="284" t="s">
        <v>155</v>
      </c>
      <c r="C4" s="285">
        <v>45</v>
      </c>
      <c r="D4" s="286">
        <v>0</v>
      </c>
      <c r="E4" s="304">
        <v>3</v>
      </c>
      <c r="F4" s="287">
        <f>SUM(C4:E4)</f>
        <v>48</v>
      </c>
    </row>
    <row r="5" spans="2:6" x14ac:dyDescent="0.3">
      <c r="B5" s="75" t="s">
        <v>86</v>
      </c>
      <c r="C5" s="29">
        <v>1</v>
      </c>
      <c r="D5" s="66">
        <v>1</v>
      </c>
      <c r="E5" s="311">
        <v>0</v>
      </c>
      <c r="F5" s="35">
        <f t="shared" ref="F5:F24" si="0">SUM(C5:E5)</f>
        <v>2</v>
      </c>
    </row>
    <row r="6" spans="2:6" x14ac:dyDescent="0.3">
      <c r="B6" s="76" t="s">
        <v>87</v>
      </c>
      <c r="C6" s="31">
        <v>1</v>
      </c>
      <c r="D6" s="67">
        <v>1</v>
      </c>
      <c r="E6" s="306">
        <v>0</v>
      </c>
      <c r="F6" s="34">
        <f t="shared" si="0"/>
        <v>2</v>
      </c>
    </row>
    <row r="7" spans="2:6" x14ac:dyDescent="0.3">
      <c r="B7" s="77" t="s">
        <v>105</v>
      </c>
      <c r="C7" s="29">
        <v>1</v>
      </c>
      <c r="D7" s="66">
        <v>1</v>
      </c>
      <c r="E7" s="305">
        <v>0</v>
      </c>
      <c r="F7" s="30">
        <f t="shared" si="0"/>
        <v>2</v>
      </c>
    </row>
    <row r="8" spans="2:6" x14ac:dyDescent="0.3">
      <c r="B8" s="76" t="s">
        <v>88</v>
      </c>
      <c r="C8" s="31">
        <v>1</v>
      </c>
      <c r="D8" s="67">
        <v>1</v>
      </c>
      <c r="E8" s="306">
        <v>0</v>
      </c>
      <c r="F8" s="32">
        <f t="shared" si="0"/>
        <v>2</v>
      </c>
    </row>
    <row r="9" spans="2:6" x14ac:dyDescent="0.3">
      <c r="B9" s="77" t="s">
        <v>89</v>
      </c>
      <c r="C9" s="29">
        <v>0</v>
      </c>
      <c r="D9" s="66">
        <v>1</v>
      </c>
      <c r="E9" s="305">
        <v>0</v>
      </c>
      <c r="F9" s="30">
        <f t="shared" si="0"/>
        <v>1</v>
      </c>
    </row>
    <row r="10" spans="2:6" x14ac:dyDescent="0.3">
      <c r="B10" s="76" t="s">
        <v>90</v>
      </c>
      <c r="C10" s="31">
        <v>1</v>
      </c>
      <c r="D10" s="67">
        <v>1</v>
      </c>
      <c r="E10" s="306">
        <v>0</v>
      </c>
      <c r="F10" s="32">
        <f t="shared" si="0"/>
        <v>2</v>
      </c>
    </row>
    <row r="11" spans="2:6" x14ac:dyDescent="0.3">
      <c r="B11" s="77" t="s">
        <v>91</v>
      </c>
      <c r="C11" s="29">
        <v>1</v>
      </c>
      <c r="D11" s="66">
        <v>1</v>
      </c>
      <c r="E11" s="305">
        <v>0</v>
      </c>
      <c r="F11" s="30">
        <f t="shared" si="0"/>
        <v>2</v>
      </c>
    </row>
    <row r="12" spans="2:6" x14ac:dyDescent="0.3">
      <c r="B12" s="76" t="s">
        <v>104</v>
      </c>
      <c r="C12" s="31">
        <v>1</v>
      </c>
      <c r="D12" s="67">
        <v>1</v>
      </c>
      <c r="E12" s="306">
        <v>0</v>
      </c>
      <c r="F12" s="32">
        <f t="shared" si="0"/>
        <v>2</v>
      </c>
    </row>
    <row r="13" spans="2:6" x14ac:dyDescent="0.3">
      <c r="B13" s="77" t="s">
        <v>92</v>
      </c>
      <c r="C13" s="29">
        <v>1</v>
      </c>
      <c r="D13" s="66">
        <v>1</v>
      </c>
      <c r="E13" s="305">
        <v>0</v>
      </c>
      <c r="F13" s="30">
        <f t="shared" si="0"/>
        <v>2</v>
      </c>
    </row>
    <row r="14" spans="2:6" x14ac:dyDescent="0.3">
      <c r="B14" s="76" t="s">
        <v>93</v>
      </c>
      <c r="C14" s="31">
        <v>2</v>
      </c>
      <c r="D14" s="67">
        <v>1</v>
      </c>
      <c r="E14" s="306">
        <v>0</v>
      </c>
      <c r="F14" s="32">
        <f t="shared" si="0"/>
        <v>3</v>
      </c>
    </row>
    <row r="15" spans="2:6" x14ac:dyDescent="0.3">
      <c r="B15" s="77" t="s">
        <v>94</v>
      </c>
      <c r="C15" s="29">
        <v>2</v>
      </c>
      <c r="D15" s="66">
        <v>1</v>
      </c>
      <c r="E15" s="305">
        <v>0</v>
      </c>
      <c r="F15" s="30">
        <f t="shared" si="0"/>
        <v>3</v>
      </c>
    </row>
    <row r="16" spans="2:6" x14ac:dyDescent="0.3">
      <c r="B16" s="76" t="s">
        <v>95</v>
      </c>
      <c r="C16" s="31">
        <v>0</v>
      </c>
      <c r="D16" s="67">
        <v>1</v>
      </c>
      <c r="E16" s="306">
        <v>0</v>
      </c>
      <c r="F16" s="32">
        <f t="shared" si="0"/>
        <v>1</v>
      </c>
    </row>
    <row r="17" spans="2:6" x14ac:dyDescent="0.3">
      <c r="B17" s="77" t="s">
        <v>96</v>
      </c>
      <c r="C17" s="29">
        <v>2</v>
      </c>
      <c r="D17" s="66">
        <v>1</v>
      </c>
      <c r="E17" s="305">
        <v>0</v>
      </c>
      <c r="F17" s="30">
        <f t="shared" si="0"/>
        <v>3</v>
      </c>
    </row>
    <row r="18" spans="2:6" x14ac:dyDescent="0.3">
      <c r="B18" s="76" t="s">
        <v>97</v>
      </c>
      <c r="C18" s="31">
        <v>1</v>
      </c>
      <c r="D18" s="67">
        <v>1</v>
      </c>
      <c r="E18" s="306">
        <v>0</v>
      </c>
      <c r="F18" s="32">
        <f t="shared" si="0"/>
        <v>2</v>
      </c>
    </row>
    <row r="19" spans="2:6" x14ac:dyDescent="0.3">
      <c r="B19" s="77" t="s">
        <v>98</v>
      </c>
      <c r="C19" s="29">
        <v>0</v>
      </c>
      <c r="D19" s="66">
        <v>1</v>
      </c>
      <c r="E19" s="305">
        <v>0</v>
      </c>
      <c r="F19" s="30">
        <f t="shared" si="0"/>
        <v>1</v>
      </c>
    </row>
    <row r="20" spans="2:6" x14ac:dyDescent="0.3">
      <c r="B20" s="76" t="s">
        <v>99</v>
      </c>
      <c r="C20" s="31">
        <v>0</v>
      </c>
      <c r="D20" s="67">
        <v>1</v>
      </c>
      <c r="E20" s="306">
        <v>0</v>
      </c>
      <c r="F20" s="32">
        <f t="shared" si="0"/>
        <v>1</v>
      </c>
    </row>
    <row r="21" spans="2:6" x14ac:dyDescent="0.3">
      <c r="B21" s="77" t="s">
        <v>100</v>
      </c>
      <c r="C21" s="29">
        <v>0</v>
      </c>
      <c r="D21" s="66">
        <v>1</v>
      </c>
      <c r="E21" s="305">
        <v>0</v>
      </c>
      <c r="F21" s="30">
        <f t="shared" si="0"/>
        <v>1</v>
      </c>
    </row>
    <row r="22" spans="2:6" x14ac:dyDescent="0.3">
      <c r="B22" s="76" t="s">
        <v>101</v>
      </c>
      <c r="C22" s="33">
        <v>1</v>
      </c>
      <c r="D22" s="68">
        <v>1</v>
      </c>
      <c r="E22" s="307">
        <v>0</v>
      </c>
      <c r="F22" s="34">
        <f t="shared" si="0"/>
        <v>2</v>
      </c>
    </row>
    <row r="23" spans="2:6" x14ac:dyDescent="0.3">
      <c r="B23" s="77" t="s">
        <v>102</v>
      </c>
      <c r="C23" s="29">
        <v>0</v>
      </c>
      <c r="D23" s="69">
        <v>1</v>
      </c>
      <c r="E23" s="308">
        <v>0</v>
      </c>
      <c r="F23" s="35">
        <f t="shared" si="0"/>
        <v>1</v>
      </c>
    </row>
    <row r="24" spans="2:6" ht="15.65" thickBot="1" x14ac:dyDescent="0.35">
      <c r="B24" s="78" t="s">
        <v>103</v>
      </c>
      <c r="C24" s="73">
        <v>1</v>
      </c>
      <c r="D24" s="70">
        <v>1</v>
      </c>
      <c r="E24" s="309">
        <v>0</v>
      </c>
      <c r="F24" s="36">
        <f t="shared" si="0"/>
        <v>2</v>
      </c>
    </row>
    <row r="25" spans="2:6" ht="16.3" thickTop="1" thickBot="1" x14ac:dyDescent="0.35">
      <c r="B25" s="79" t="s">
        <v>2</v>
      </c>
      <c r="C25" s="37">
        <f t="shared" ref="C25:D25" si="1">SUM(C4:C24)</f>
        <v>62</v>
      </c>
      <c r="D25" s="71">
        <f t="shared" si="1"/>
        <v>20</v>
      </c>
      <c r="E25" s="310">
        <f>SUM(E4:E24)</f>
        <v>3</v>
      </c>
      <c r="F25" s="38">
        <f>SUM(F4:F24)</f>
        <v>85</v>
      </c>
    </row>
  </sheetData>
  <sheetProtection sheet="1" objects="1" scenarios="1" selectLockedCells="1"/>
  <mergeCells count="1">
    <mergeCell ref="B2:F2"/>
  </mergeCells>
  <printOptions horizontalCentered="1" verticalCentered="1"/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5">
    <pageSetUpPr fitToPage="1"/>
  </sheetPr>
  <dimension ref="B1:T25"/>
  <sheetViews>
    <sheetView workbookViewId="0">
      <selection activeCell="B2" sqref="B2:K2"/>
    </sheetView>
  </sheetViews>
  <sheetFormatPr defaultRowHeight="15.05" x14ac:dyDescent="0.3"/>
  <cols>
    <col min="1" max="1" width="4" customWidth="1"/>
    <col min="2" max="2" width="26.109375" style="74" bestFit="1" customWidth="1"/>
    <col min="3" max="11" width="20.6640625" customWidth="1"/>
  </cols>
  <sheetData>
    <row r="1" spans="2:20" ht="15.65" thickBot="1" x14ac:dyDescent="0.35"/>
    <row r="2" spans="2:20" ht="15.65" thickBot="1" x14ac:dyDescent="0.35">
      <c r="B2" s="452" t="s">
        <v>78</v>
      </c>
      <c r="C2" s="455"/>
      <c r="D2" s="455"/>
      <c r="E2" s="455"/>
      <c r="F2" s="455"/>
      <c r="G2" s="455"/>
      <c r="H2" s="455"/>
      <c r="I2" s="455"/>
      <c r="J2" s="455"/>
      <c r="K2" s="456"/>
    </row>
    <row r="3" spans="2:20" s="2" customFormat="1" ht="30.05" customHeight="1" thickBot="1" x14ac:dyDescent="0.35">
      <c r="B3" s="81" t="s">
        <v>0</v>
      </c>
      <c r="C3" s="82" t="s">
        <v>160</v>
      </c>
      <c r="D3" s="83" t="s">
        <v>161</v>
      </c>
      <c r="E3" s="82" t="s">
        <v>158</v>
      </c>
      <c r="F3" s="83" t="s">
        <v>159</v>
      </c>
      <c r="G3" s="82" t="s">
        <v>73</v>
      </c>
      <c r="H3" s="83" t="s">
        <v>74</v>
      </c>
      <c r="I3" s="82" t="s">
        <v>75</v>
      </c>
      <c r="J3" s="83" t="s">
        <v>76</v>
      </c>
      <c r="K3" s="81" t="s">
        <v>6</v>
      </c>
    </row>
    <row r="4" spans="2:20" x14ac:dyDescent="0.3">
      <c r="B4" s="284" t="s">
        <v>155</v>
      </c>
      <c r="C4" s="290">
        <v>441.29</v>
      </c>
      <c r="D4" s="291">
        <v>6975.53</v>
      </c>
      <c r="E4" s="290"/>
      <c r="F4" s="291"/>
      <c r="G4" s="292">
        <v>0</v>
      </c>
      <c r="H4" s="291">
        <v>0</v>
      </c>
      <c r="I4" s="290">
        <v>0</v>
      </c>
      <c r="J4" s="293">
        <v>0</v>
      </c>
      <c r="K4" s="294">
        <v>520.92999999999995</v>
      </c>
      <c r="M4" s="80"/>
      <c r="N4" s="80"/>
      <c r="T4" s="80"/>
    </row>
    <row r="5" spans="2:20" x14ac:dyDescent="0.3">
      <c r="B5" s="75" t="s">
        <v>86</v>
      </c>
      <c r="C5" s="39">
        <v>0</v>
      </c>
      <c r="D5" s="40">
        <v>0</v>
      </c>
      <c r="E5" s="39">
        <v>57.1</v>
      </c>
      <c r="F5" s="40">
        <v>89.77</v>
      </c>
      <c r="G5" s="41">
        <v>0</v>
      </c>
      <c r="H5" s="40">
        <v>0</v>
      </c>
      <c r="I5" s="39">
        <v>0</v>
      </c>
      <c r="J5" s="42">
        <v>0</v>
      </c>
      <c r="K5" s="43">
        <v>231.71</v>
      </c>
      <c r="M5" s="80"/>
      <c r="N5" s="80"/>
      <c r="T5" s="80"/>
    </row>
    <row r="6" spans="2:20" x14ac:dyDescent="0.3">
      <c r="B6" s="76" t="s">
        <v>87</v>
      </c>
      <c r="C6" s="44">
        <v>0</v>
      </c>
      <c r="D6" s="45">
        <v>0</v>
      </c>
      <c r="E6" s="44">
        <v>43.97</v>
      </c>
      <c r="F6" s="45">
        <v>175.33</v>
      </c>
      <c r="G6" s="46">
        <v>0</v>
      </c>
      <c r="H6" s="45">
        <v>164.22</v>
      </c>
      <c r="I6" s="44">
        <v>0</v>
      </c>
      <c r="J6" s="47">
        <v>0</v>
      </c>
      <c r="K6" s="48">
        <v>491.75</v>
      </c>
      <c r="M6" s="80"/>
      <c r="N6" s="80"/>
      <c r="O6" s="1"/>
      <c r="P6" s="80"/>
      <c r="Q6" s="80"/>
      <c r="R6" s="80"/>
      <c r="S6" s="80"/>
    </row>
    <row r="7" spans="2:20" x14ac:dyDescent="0.3">
      <c r="B7" s="77" t="s">
        <v>105</v>
      </c>
      <c r="C7" s="39">
        <v>0</v>
      </c>
      <c r="D7" s="40">
        <v>0</v>
      </c>
      <c r="E7" s="39">
        <v>340.86</v>
      </c>
      <c r="F7" s="40">
        <v>171.8</v>
      </c>
      <c r="G7" s="41">
        <v>0</v>
      </c>
      <c r="H7" s="40">
        <v>0</v>
      </c>
      <c r="I7" s="39">
        <v>0</v>
      </c>
      <c r="J7" s="42">
        <v>0</v>
      </c>
      <c r="K7" s="43">
        <v>589.6</v>
      </c>
      <c r="M7" s="80"/>
      <c r="N7" s="80"/>
      <c r="O7" s="1"/>
      <c r="P7" s="80"/>
      <c r="Q7" s="80"/>
      <c r="R7" s="80"/>
      <c r="S7" s="80"/>
    </row>
    <row r="8" spans="2:20" x14ac:dyDescent="0.3">
      <c r="B8" s="76" t="s">
        <v>88</v>
      </c>
      <c r="C8" s="44">
        <v>0</v>
      </c>
      <c r="D8" s="45">
        <v>0</v>
      </c>
      <c r="E8" s="44">
        <v>35.94</v>
      </c>
      <c r="F8" s="45">
        <v>169.42</v>
      </c>
      <c r="G8" s="46">
        <v>0</v>
      </c>
      <c r="H8" s="45">
        <v>157.29</v>
      </c>
      <c r="I8" s="44">
        <v>0</v>
      </c>
      <c r="J8" s="47">
        <v>0</v>
      </c>
      <c r="K8" s="48">
        <v>624.66999999999996</v>
      </c>
      <c r="M8" s="80"/>
      <c r="N8" s="80"/>
      <c r="O8" s="1"/>
      <c r="P8" s="80"/>
      <c r="Q8" s="80"/>
      <c r="R8" s="80"/>
      <c r="S8" s="80"/>
    </row>
    <row r="9" spans="2:20" x14ac:dyDescent="0.3">
      <c r="B9" s="77" t="s">
        <v>89</v>
      </c>
      <c r="C9" s="39">
        <v>0</v>
      </c>
      <c r="D9" s="40">
        <v>0</v>
      </c>
      <c r="E9" s="39">
        <v>20.100000000000001</v>
      </c>
      <c r="F9" s="40">
        <v>189.69</v>
      </c>
      <c r="G9" s="41">
        <v>0</v>
      </c>
      <c r="H9" s="40">
        <v>0</v>
      </c>
      <c r="I9" s="39">
        <v>0</v>
      </c>
      <c r="J9" s="42">
        <v>0</v>
      </c>
      <c r="K9" s="43">
        <v>252.78</v>
      </c>
      <c r="M9" s="80"/>
      <c r="N9" s="80"/>
      <c r="O9" s="1"/>
      <c r="P9" s="80"/>
      <c r="Q9" s="80"/>
      <c r="R9" s="80"/>
      <c r="S9" s="80"/>
    </row>
    <row r="10" spans="2:20" x14ac:dyDescent="0.3">
      <c r="B10" s="76" t="s">
        <v>90</v>
      </c>
      <c r="C10" s="44">
        <v>0</v>
      </c>
      <c r="D10" s="45">
        <v>0</v>
      </c>
      <c r="E10" s="44">
        <v>163.94</v>
      </c>
      <c r="F10" s="45">
        <v>173.99</v>
      </c>
      <c r="G10" s="46">
        <v>0</v>
      </c>
      <c r="H10" s="45">
        <v>0</v>
      </c>
      <c r="I10" s="44">
        <v>0</v>
      </c>
      <c r="J10" s="47">
        <v>0</v>
      </c>
      <c r="K10" s="48">
        <v>287.5</v>
      </c>
      <c r="M10" s="80"/>
      <c r="N10" s="80"/>
      <c r="O10" s="1"/>
      <c r="P10" s="80"/>
      <c r="Q10" s="80"/>
      <c r="R10" s="80"/>
      <c r="S10" s="80"/>
    </row>
    <row r="11" spans="2:20" x14ac:dyDescent="0.3">
      <c r="B11" s="77" t="s">
        <v>91</v>
      </c>
      <c r="C11" s="39">
        <v>0</v>
      </c>
      <c r="D11" s="40">
        <v>0</v>
      </c>
      <c r="E11" s="39">
        <v>35.369999999999997</v>
      </c>
      <c r="F11" s="40">
        <v>142.86000000000001</v>
      </c>
      <c r="G11" s="41">
        <v>0</v>
      </c>
      <c r="H11" s="40">
        <v>194.9</v>
      </c>
      <c r="I11" s="39">
        <v>0</v>
      </c>
      <c r="J11" s="42">
        <v>0</v>
      </c>
      <c r="K11" s="43">
        <v>133.57</v>
      </c>
      <c r="M11" s="80"/>
      <c r="N11" s="80"/>
      <c r="O11" s="1"/>
      <c r="P11" s="80"/>
      <c r="Q11" s="80"/>
      <c r="R11" s="80"/>
      <c r="S11" s="80"/>
    </row>
    <row r="12" spans="2:20" x14ac:dyDescent="0.3">
      <c r="B12" s="76" t="s">
        <v>104</v>
      </c>
      <c r="C12" s="44">
        <v>0</v>
      </c>
      <c r="D12" s="45">
        <v>0</v>
      </c>
      <c r="E12" s="44">
        <v>45.95</v>
      </c>
      <c r="F12" s="45">
        <v>76.209999999999994</v>
      </c>
      <c r="G12" s="46">
        <v>0</v>
      </c>
      <c r="H12" s="45">
        <v>0</v>
      </c>
      <c r="I12" s="44">
        <v>0</v>
      </c>
      <c r="J12" s="47">
        <v>0</v>
      </c>
      <c r="K12" s="48">
        <v>212.01999999999998</v>
      </c>
      <c r="M12" s="80"/>
      <c r="N12" s="80"/>
      <c r="O12" s="1"/>
      <c r="P12" s="80"/>
      <c r="Q12" s="80"/>
      <c r="R12" s="80"/>
      <c r="S12" s="80"/>
    </row>
    <row r="13" spans="2:20" x14ac:dyDescent="0.3">
      <c r="B13" s="77" t="s">
        <v>92</v>
      </c>
      <c r="C13" s="39">
        <v>0</v>
      </c>
      <c r="D13" s="40">
        <v>0</v>
      </c>
      <c r="E13" s="39">
        <v>68.650000000000006</v>
      </c>
      <c r="F13" s="40">
        <v>95.46</v>
      </c>
      <c r="G13" s="41">
        <v>0</v>
      </c>
      <c r="H13" s="40">
        <v>0</v>
      </c>
      <c r="I13" s="39">
        <v>0</v>
      </c>
      <c r="J13" s="42">
        <v>0</v>
      </c>
      <c r="K13" s="43">
        <v>671.8</v>
      </c>
      <c r="M13" s="80"/>
      <c r="N13" s="80"/>
      <c r="O13" s="80"/>
      <c r="P13" s="80"/>
      <c r="Q13" s="80"/>
      <c r="R13" s="80"/>
      <c r="S13" s="80"/>
    </row>
    <row r="14" spans="2:20" x14ac:dyDescent="0.3">
      <c r="B14" s="76" t="s">
        <v>93</v>
      </c>
      <c r="C14" s="44">
        <v>0</v>
      </c>
      <c r="D14" s="45">
        <v>0</v>
      </c>
      <c r="E14" s="44">
        <v>171.52</v>
      </c>
      <c r="F14" s="45">
        <v>198.45</v>
      </c>
      <c r="G14" s="46">
        <v>61.87</v>
      </c>
      <c r="H14" s="45">
        <v>46.7</v>
      </c>
      <c r="I14" s="44">
        <v>0</v>
      </c>
      <c r="J14" s="47">
        <v>0</v>
      </c>
      <c r="K14" s="48">
        <v>485.90999999999997</v>
      </c>
      <c r="M14" s="80"/>
      <c r="N14" s="80"/>
      <c r="O14" s="80"/>
      <c r="P14" s="80"/>
      <c r="Q14" s="80"/>
      <c r="R14" s="80"/>
      <c r="S14" s="80"/>
    </row>
    <row r="15" spans="2:20" x14ac:dyDescent="0.3">
      <c r="B15" s="77" t="s">
        <v>94</v>
      </c>
      <c r="C15" s="39">
        <v>0</v>
      </c>
      <c r="D15" s="40">
        <v>0</v>
      </c>
      <c r="E15" s="39">
        <v>58.49</v>
      </c>
      <c r="F15" s="40">
        <v>709.43</v>
      </c>
      <c r="G15" s="41">
        <v>0</v>
      </c>
      <c r="H15" s="40">
        <v>0</v>
      </c>
      <c r="I15" s="39">
        <v>0</v>
      </c>
      <c r="J15" s="42">
        <v>0</v>
      </c>
      <c r="K15" s="43">
        <v>624.9</v>
      </c>
      <c r="M15" s="80"/>
      <c r="N15" s="80"/>
      <c r="O15" s="80"/>
      <c r="P15" s="80"/>
      <c r="Q15" s="80"/>
      <c r="R15" s="80"/>
      <c r="S15" s="80"/>
    </row>
    <row r="16" spans="2:20" x14ac:dyDescent="0.3">
      <c r="B16" s="76" t="s">
        <v>95</v>
      </c>
      <c r="C16" s="44">
        <v>0</v>
      </c>
      <c r="D16" s="45">
        <v>0</v>
      </c>
      <c r="E16" s="44">
        <v>13.8</v>
      </c>
      <c r="F16" s="45">
        <v>21.64</v>
      </c>
      <c r="G16" s="46">
        <v>0</v>
      </c>
      <c r="H16" s="45">
        <v>0</v>
      </c>
      <c r="I16" s="44">
        <v>0</v>
      </c>
      <c r="J16" s="47">
        <v>0</v>
      </c>
      <c r="K16" s="48">
        <v>290.07</v>
      </c>
      <c r="M16" s="80"/>
      <c r="N16" s="80"/>
      <c r="O16" s="80"/>
      <c r="P16" s="80"/>
      <c r="Q16" s="80"/>
      <c r="R16" s="80"/>
      <c r="S16" s="80"/>
    </row>
    <row r="17" spans="2:19" x14ac:dyDescent="0.3">
      <c r="B17" s="77" t="s">
        <v>96</v>
      </c>
      <c r="C17" s="39">
        <v>0</v>
      </c>
      <c r="D17" s="40">
        <v>0</v>
      </c>
      <c r="E17" s="39">
        <v>24.31</v>
      </c>
      <c r="F17" s="40">
        <v>505.87</v>
      </c>
      <c r="G17" s="41">
        <v>0</v>
      </c>
      <c r="H17" s="40">
        <v>0</v>
      </c>
      <c r="I17" s="39">
        <v>0</v>
      </c>
      <c r="J17" s="42">
        <v>0</v>
      </c>
      <c r="K17" s="43">
        <v>1588.46</v>
      </c>
      <c r="M17" s="80"/>
      <c r="N17" s="80"/>
      <c r="O17" s="80"/>
      <c r="P17" s="80"/>
      <c r="Q17" s="80"/>
      <c r="R17" s="80"/>
      <c r="S17" s="80"/>
    </row>
    <row r="18" spans="2:19" x14ac:dyDescent="0.3">
      <c r="B18" s="76" t="s">
        <v>97</v>
      </c>
      <c r="C18" s="44">
        <v>0</v>
      </c>
      <c r="D18" s="45">
        <v>0</v>
      </c>
      <c r="E18" s="44">
        <v>117.96</v>
      </c>
      <c r="F18" s="45">
        <v>673.84</v>
      </c>
      <c r="G18" s="46">
        <v>0</v>
      </c>
      <c r="H18" s="45">
        <v>0</v>
      </c>
      <c r="I18" s="44">
        <v>0</v>
      </c>
      <c r="J18" s="47">
        <v>0</v>
      </c>
      <c r="K18" s="48">
        <v>326.54000000000002</v>
      </c>
      <c r="M18" s="80"/>
      <c r="N18" s="80"/>
      <c r="O18" s="80"/>
      <c r="P18" s="80"/>
      <c r="Q18" s="80"/>
      <c r="R18" s="80"/>
      <c r="S18" s="80"/>
    </row>
    <row r="19" spans="2:19" x14ac:dyDescent="0.3">
      <c r="B19" s="77" t="s">
        <v>98</v>
      </c>
      <c r="C19" s="39">
        <v>0</v>
      </c>
      <c r="D19" s="40">
        <v>0</v>
      </c>
      <c r="E19" s="39">
        <v>31</v>
      </c>
      <c r="F19" s="40">
        <v>14.32</v>
      </c>
      <c r="G19" s="41">
        <v>0</v>
      </c>
      <c r="H19" s="40">
        <v>0</v>
      </c>
      <c r="I19" s="39">
        <v>0</v>
      </c>
      <c r="J19" s="42">
        <v>0</v>
      </c>
      <c r="K19" s="43">
        <v>8.4499999999999993</v>
      </c>
      <c r="M19" s="80"/>
      <c r="N19" s="80"/>
      <c r="O19" s="80"/>
      <c r="P19" s="80"/>
      <c r="Q19" s="80"/>
      <c r="R19" s="80"/>
      <c r="S19" s="80"/>
    </row>
    <row r="20" spans="2:19" x14ac:dyDescent="0.3">
      <c r="B20" s="76" t="s">
        <v>99</v>
      </c>
      <c r="C20" s="44">
        <v>0</v>
      </c>
      <c r="D20" s="45">
        <v>0</v>
      </c>
      <c r="E20" s="44">
        <v>98.18</v>
      </c>
      <c r="F20" s="45">
        <v>122.69</v>
      </c>
      <c r="G20" s="46">
        <v>0</v>
      </c>
      <c r="H20" s="45">
        <v>0</v>
      </c>
      <c r="I20" s="44">
        <v>6.3</v>
      </c>
      <c r="J20" s="47">
        <v>90.34</v>
      </c>
      <c r="K20" s="48">
        <v>27.310000000000002</v>
      </c>
      <c r="M20" s="80"/>
      <c r="N20" s="80"/>
      <c r="O20" s="80"/>
      <c r="P20" s="80"/>
      <c r="Q20" s="80"/>
      <c r="R20" s="80"/>
      <c r="S20" s="80"/>
    </row>
    <row r="21" spans="2:19" x14ac:dyDescent="0.3">
      <c r="B21" s="77" t="s">
        <v>100</v>
      </c>
      <c r="C21" s="39">
        <v>0</v>
      </c>
      <c r="D21" s="40">
        <v>0</v>
      </c>
      <c r="E21" s="39">
        <v>45.84</v>
      </c>
      <c r="F21" s="40">
        <v>5.36</v>
      </c>
      <c r="G21" s="41">
        <v>0</v>
      </c>
      <c r="H21" s="40">
        <v>0</v>
      </c>
      <c r="I21" s="39">
        <v>0</v>
      </c>
      <c r="J21" s="42">
        <v>0</v>
      </c>
      <c r="K21" s="43">
        <v>101.56</v>
      </c>
      <c r="M21" s="80"/>
      <c r="N21" s="80"/>
      <c r="O21" s="80"/>
      <c r="P21" s="80"/>
      <c r="Q21" s="80"/>
      <c r="R21" s="80"/>
      <c r="S21" s="80"/>
    </row>
    <row r="22" spans="2:19" x14ac:dyDescent="0.3">
      <c r="B22" s="76" t="s">
        <v>101</v>
      </c>
      <c r="C22" s="49">
        <v>0</v>
      </c>
      <c r="D22" s="50">
        <v>0</v>
      </c>
      <c r="E22" s="49">
        <v>77.510000000000005</v>
      </c>
      <c r="F22" s="50">
        <v>528.29999999999995</v>
      </c>
      <c r="G22" s="51">
        <v>0</v>
      </c>
      <c r="H22" s="50">
        <v>235.51</v>
      </c>
      <c r="I22" s="44">
        <v>0</v>
      </c>
      <c r="J22" s="47">
        <v>0</v>
      </c>
      <c r="K22" s="52">
        <v>94.33</v>
      </c>
      <c r="M22" s="80"/>
      <c r="N22" s="80"/>
      <c r="O22" s="80"/>
      <c r="P22" s="80"/>
      <c r="Q22" s="80"/>
      <c r="R22" s="80"/>
      <c r="S22" s="80"/>
    </row>
    <row r="23" spans="2:19" x14ac:dyDescent="0.3">
      <c r="B23" s="77" t="s">
        <v>102</v>
      </c>
      <c r="C23" s="39">
        <v>0</v>
      </c>
      <c r="D23" s="53">
        <v>0</v>
      </c>
      <c r="E23" s="39">
        <v>34.96</v>
      </c>
      <c r="F23" s="53">
        <v>0</v>
      </c>
      <c r="G23" s="54">
        <v>0</v>
      </c>
      <c r="H23" s="53">
        <v>0</v>
      </c>
      <c r="I23" s="39">
        <v>0</v>
      </c>
      <c r="J23" s="42">
        <v>0</v>
      </c>
      <c r="K23" s="43">
        <v>144.38999999999999</v>
      </c>
      <c r="M23" s="80"/>
      <c r="N23" s="80"/>
      <c r="O23" s="80"/>
      <c r="P23" s="80"/>
      <c r="Q23" s="80"/>
      <c r="R23" s="80"/>
      <c r="S23" s="80"/>
    </row>
    <row r="24" spans="2:19" ht="15.65" thickBot="1" x14ac:dyDescent="0.35">
      <c r="B24" s="78" t="s">
        <v>103</v>
      </c>
      <c r="C24" s="55">
        <v>0</v>
      </c>
      <c r="D24" s="56">
        <v>0</v>
      </c>
      <c r="E24" s="55">
        <v>32.51</v>
      </c>
      <c r="F24" s="56">
        <v>50.46</v>
      </c>
      <c r="G24" s="57">
        <v>0</v>
      </c>
      <c r="H24" s="58">
        <v>0</v>
      </c>
      <c r="I24" s="59">
        <v>0</v>
      </c>
      <c r="J24" s="58">
        <v>0</v>
      </c>
      <c r="K24" s="60">
        <v>5.44</v>
      </c>
      <c r="M24" s="80"/>
      <c r="N24" s="80"/>
      <c r="O24" s="80"/>
      <c r="P24" s="80"/>
      <c r="Q24" s="80"/>
      <c r="R24" s="80"/>
      <c r="S24" s="80"/>
    </row>
    <row r="25" spans="2:19" ht="16.3" thickTop="1" thickBot="1" x14ac:dyDescent="0.35">
      <c r="B25" s="79" t="s">
        <v>2</v>
      </c>
      <c r="C25" s="61">
        <v>441.29</v>
      </c>
      <c r="D25" s="62">
        <v>6975.53</v>
      </c>
      <c r="E25" s="61">
        <v>1517.96</v>
      </c>
      <c r="F25" s="62">
        <v>4114.8900000000003</v>
      </c>
      <c r="G25" s="63">
        <v>61.87</v>
      </c>
      <c r="H25" s="62">
        <v>798.62</v>
      </c>
      <c r="I25" s="64">
        <v>6.3</v>
      </c>
      <c r="J25" s="62">
        <v>90.34</v>
      </c>
      <c r="K25" s="65">
        <v>7713.69</v>
      </c>
      <c r="M25" s="80"/>
      <c r="N25" s="80"/>
      <c r="O25" s="80"/>
      <c r="P25" s="80"/>
      <c r="Q25" s="80"/>
      <c r="R25" s="80"/>
      <c r="S25" s="80"/>
    </row>
  </sheetData>
  <sheetProtection sheet="1" objects="1" scenarios="1" selectLockedCells="1"/>
  <mergeCells count="1">
    <mergeCell ref="B2:K2"/>
  </mergeCells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Introdução</vt:lpstr>
      <vt:lpstr>Dados da empresa</vt:lpstr>
      <vt:lpstr>Dados de custos</vt:lpstr>
      <vt:lpstr>Encargos sociais</vt:lpstr>
      <vt:lpstr>Orçam. analítico</vt:lpstr>
      <vt:lpstr>Orçam. sintético</vt:lpstr>
      <vt:lpstr>Cronograma Físico-Financeiro</vt:lpstr>
      <vt:lpstr>Postos</vt:lpstr>
      <vt:lpstr>Elem. de fachada + Jard.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mrebeschini@tce.sp.gov.br</dc:creator>
  <cp:lastModifiedBy>Leonardo Kim</cp:lastModifiedBy>
  <cp:lastPrinted>2022-03-16T13:35:17Z</cp:lastPrinted>
  <dcterms:created xsi:type="dcterms:W3CDTF">2020-05-08T18:08:10Z</dcterms:created>
  <dcterms:modified xsi:type="dcterms:W3CDTF">2022-03-16T14:15:24Z</dcterms:modified>
</cp:coreProperties>
</file>