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gdm\DM5\Editais\2025\Arquivos a Disponibilizar - 477-2024-71 - Outsourcing de impressão\"/>
    </mc:Choice>
  </mc:AlternateContent>
  <xr:revisionPtr revIDLastSave="0" documentId="13_ncr:1_{AA8C7E97-6C71-457A-87E3-28BC12F76EA2}" xr6:coauthVersionLast="47" xr6:coauthVersionMax="47" xr10:uidLastSave="{00000000-0000-0000-0000-000000000000}"/>
  <workbookProtection workbookAlgorithmName="SHA-512" workbookHashValue="1KHmOR5zBrOGSuuYeO0Df0yaA6aFtmltY0cTJgQ133pDC2LPVvcfRV7W/BpJkJJQYUTiTQ3ljDdnuJ/CMjXIbw==" workbookSaltValue="1jMjn3ge7EU3XOwyHBnb8Q==" workbookSpinCount="100000" lockStructure="1"/>
  <bookViews>
    <workbookView xWindow="-109" yWindow="-109" windowWidth="26301" windowHeight="14305" tabRatio="778" firstSheet="1" activeTab="4" xr2:uid="{00000000-000D-0000-FFFF-FFFF00000000}"/>
  </bookViews>
  <sheets>
    <sheet name="Dados da Empresa" sheetId="81" r:id="rId1"/>
    <sheet name="Dados de Custos" sheetId="91" r:id="rId2"/>
    <sheet name="Encargos sociais" sheetId="88" r:id="rId3"/>
    <sheet name="Calc. Uniformes" sheetId="90" r:id="rId4"/>
    <sheet name="Anexo D - Planilha de Preços" sheetId="92" r:id="rId5"/>
    <sheet name="Orçam. sintético" sheetId="83" r:id="rId6"/>
    <sheet name="Orçam. analítico" sheetId="82" r:id="rId7"/>
    <sheet name="Cronograma Físico-Financeiro" sheetId="89" r:id="rId8"/>
  </sheets>
  <externalReferences>
    <externalReference r:id="rId9"/>
  </externalReferences>
  <definedNames>
    <definedName name="_xlnm.Print_Area" localSheetId="0">'Dados da Empresa'!$A$1:$F$39</definedName>
    <definedName name="_xlnm.Print_Area" localSheetId="5">'Orçam. sintético'!$A$1:$I$9</definedName>
    <definedName name="Foto">INDIRECT('[1]Anexo A'!$I$15)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88" l="1"/>
  <c r="C35" i="91"/>
  <c r="C28" i="91"/>
  <c r="C26" i="91" s="1"/>
  <c r="C25" i="91"/>
  <c r="C20" i="91"/>
  <c r="C18" i="91"/>
  <c r="C11" i="91"/>
  <c r="C24" i="91"/>
  <c r="C19" i="91"/>
  <c r="C22" i="91" l="1"/>
  <c r="C21" i="91" s="1"/>
  <c r="C17" i="91"/>
  <c r="C16" i="91" l="1"/>
  <c r="G5" i="82"/>
  <c r="L11" i="82"/>
  <c r="K11" i="82"/>
  <c r="J10" i="82"/>
  <c r="I10" i="82"/>
  <c r="H10" i="82"/>
  <c r="G12" i="82"/>
  <c r="G11" i="82"/>
  <c r="G10" i="82"/>
  <c r="E10" i="82"/>
  <c r="E12" i="82"/>
  <c r="E11" i="82"/>
  <c r="Q12" i="92" l="1"/>
  <c r="F12" i="82" s="1"/>
  <c r="H9" i="82"/>
  <c r="G6" i="83" l="1"/>
  <c r="H6" i="83" s="1"/>
  <c r="O9" i="92"/>
  <c r="M9" i="92"/>
  <c r="Q8" i="92"/>
  <c r="C10" i="89"/>
  <c r="F10" i="82" l="1"/>
  <c r="G4" i="83"/>
  <c r="H4" i="83" s="1"/>
  <c r="Q9" i="92"/>
  <c r="I5" i="82"/>
  <c r="F11" i="82" l="1"/>
  <c r="G5" i="83"/>
  <c r="H5" i="83" s="1"/>
  <c r="H5" i="82"/>
  <c r="E26" i="81" l="1"/>
  <c r="E25" i="81"/>
  <c r="E23" i="81"/>
  <c r="G19" i="90"/>
  <c r="G18" i="90"/>
  <c r="G17" i="90"/>
  <c r="G16" i="90"/>
  <c r="G15" i="90"/>
  <c r="G14" i="90"/>
  <c r="G13" i="90"/>
  <c r="G12" i="90"/>
  <c r="G11" i="90"/>
  <c r="G10" i="90"/>
  <c r="G9" i="90"/>
  <c r="G8" i="90"/>
  <c r="G7" i="90"/>
  <c r="G6" i="90"/>
  <c r="F31" i="81" l="1"/>
  <c r="C41" i="91" s="1"/>
  <c r="G20" i="90"/>
  <c r="G21" i="90"/>
  <c r="C34" i="91" s="1"/>
  <c r="C33" i="91" s="1"/>
  <c r="C32" i="91" s="1"/>
  <c r="J5" i="82" s="1"/>
  <c r="C31" i="88" l="1"/>
  <c r="C8" i="88" l="1"/>
  <c r="C9" i="88"/>
  <c r="C10" i="88"/>
  <c r="C11" i="88"/>
  <c r="C12" i="88"/>
  <c r="C15" i="88"/>
  <c r="C22" i="88"/>
  <c r="C25" i="88"/>
  <c r="C6" i="88" l="1"/>
  <c r="C38" i="88" l="1"/>
  <c r="C41" i="88" s="1"/>
  <c r="C38" i="91" s="1"/>
  <c r="C37" i="91" s="1"/>
  <c r="K5" i="82" s="1"/>
  <c r="C40" i="91" l="1"/>
  <c r="C47" i="91" l="1"/>
  <c r="L5" i="82"/>
  <c r="C45" i="91" l="1"/>
  <c r="F16" i="92"/>
  <c r="Q16" i="92" s="1"/>
  <c r="G8" i="83" s="1"/>
  <c r="H8" i="83" s="1"/>
  <c r="F15" i="92"/>
  <c r="Q15" i="92" s="1"/>
  <c r="E5" i="82"/>
  <c r="F5" i="82" s="1"/>
  <c r="Q17" i="92" l="1"/>
  <c r="Q18" i="92" s="1"/>
  <c r="K14" i="82" s="1"/>
  <c r="G7" i="83"/>
  <c r="H7" i="83" l="1"/>
  <c r="H9" i="83" s="1"/>
  <c r="G9" i="83"/>
  <c r="D9" i="89" l="1"/>
  <c r="E9" i="89" s="1"/>
  <c r="D4" i="89"/>
  <c r="E4" i="89" s="1"/>
  <c r="D7" i="89"/>
  <c r="E7" i="89" s="1"/>
  <c r="D5" i="89"/>
  <c r="E5" i="89" s="1"/>
  <c r="D6" i="89"/>
  <c r="E6" i="89" s="1"/>
  <c r="D8" i="89"/>
  <c r="E8" i="89" s="1"/>
  <c r="E10" i="89" l="1"/>
  <c r="F7" i="89" s="1"/>
  <c r="F9" i="89" l="1"/>
  <c r="F5" i="89"/>
  <c r="F8" i="89"/>
  <c r="F4" i="89"/>
  <c r="F6" i="8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EA97177-DBF2-40CA-9F69-191E0CDA2518}" keepAlive="1" name="Consulta - Tabela1" description="Conexão com a consulta 'Tabela1' na pasta de trabalho." type="5" refreshedVersion="8" background="1" saveData="1">
    <dbPr connection="Provider=Microsoft.Mashup.OleDb.1;Data Source=$Workbook$;Location=Tabela1;Extended Properties=&quot;&quot;" command="SELECT * FROM [Tabela1]"/>
  </connection>
</connections>
</file>

<file path=xl/sharedStrings.xml><?xml version="1.0" encoding="utf-8"?>
<sst xmlns="http://schemas.openxmlformats.org/spreadsheetml/2006/main" count="317" uniqueCount="228">
  <si>
    <t>INSTRUÇÕES PARA PREENCHIMENTO</t>
  </si>
  <si>
    <r>
      <t xml:space="preserve">• Preencher apenas as células destacadas em </t>
    </r>
    <r>
      <rPr>
        <b/>
        <sz val="10"/>
        <color rgb="FF0070C0"/>
        <rFont val="Calibri"/>
        <family val="2"/>
        <scheme val="minor"/>
      </rPr>
      <t>azul</t>
    </r>
    <r>
      <rPr>
        <b/>
        <sz val="10"/>
        <rFont val="Calibri"/>
        <family val="2"/>
        <scheme val="minor"/>
      </rPr>
      <t>, nas abas "Dados da empresa", "Dados do orçamento" e "Encargos sociais";</t>
    </r>
    <r>
      <rPr>
        <b/>
        <sz val="10"/>
        <color theme="1"/>
        <rFont val="Calibri"/>
        <family val="2"/>
        <scheme val="minor"/>
      </rPr>
      <t xml:space="preserve">
• Arredondar valores para a segunda casa decimal.</t>
    </r>
  </si>
  <si>
    <t>DADOS DA EMPRESA</t>
  </si>
  <si>
    <t>Razão Social</t>
  </si>
  <si>
    <t>CNPJ</t>
  </si>
  <si>
    <t>Endereço</t>
  </si>
  <si>
    <t>Telefone</t>
  </si>
  <si>
    <t>Contato</t>
  </si>
  <si>
    <t>E-mail</t>
  </si>
  <si>
    <t>RAT</t>
  </si>
  <si>
    <t>FAP</t>
  </si>
  <si>
    <t>Sindicato da Categoria</t>
  </si>
  <si>
    <t>Data-base</t>
  </si>
  <si>
    <t>Regime de tributação</t>
  </si>
  <si>
    <t>Faturamento nos 12 meses anteriores (se optante SIMPLES)</t>
  </si>
  <si>
    <t>Faixa Simples Nacional</t>
  </si>
  <si>
    <t>A empresa utiliza crédito de PIS/Cofins?</t>
  </si>
  <si>
    <t xml:space="preserve">COMPONENTES DO BDI </t>
  </si>
  <si>
    <t>Item</t>
  </si>
  <si>
    <t>Componentes</t>
  </si>
  <si>
    <t>% do faturamento</t>
  </si>
  <si>
    <t>Total</t>
  </si>
  <si>
    <t>Fonte</t>
  </si>
  <si>
    <t>Despesas indiretas</t>
  </si>
  <si>
    <t>Administração Central</t>
  </si>
  <si>
    <t>CadTerc Vol. 19 - 2024</t>
  </si>
  <si>
    <t>Seguros</t>
  </si>
  <si>
    <t>Lucro bruto</t>
  </si>
  <si>
    <t>Lucro</t>
  </si>
  <si>
    <t>Despesas fiscais</t>
  </si>
  <si>
    <t>PIS</t>
  </si>
  <si>
    <t>COFINS</t>
  </si>
  <si>
    <t>DADOS DOS MUNICÍPIOS - VALE TRANSPORTE, ISS E RESULTADO BDI</t>
  </si>
  <si>
    <t>UR</t>
  </si>
  <si>
    <t>Vale Transporte</t>
  </si>
  <si>
    <t>Alíquota - ISS</t>
  </si>
  <si>
    <t>BDI</t>
  </si>
  <si>
    <t>Capital</t>
  </si>
  <si>
    <r>
      <t xml:space="preserve">• Preencher apenas as células destacadas em </t>
    </r>
    <r>
      <rPr>
        <b/>
        <sz val="10"/>
        <color rgb="FF0070C0"/>
        <rFont val="Calibri"/>
        <family val="2"/>
        <scheme val="minor"/>
      </rPr>
      <t xml:space="preserve">azul;
</t>
    </r>
    <r>
      <rPr>
        <b/>
        <sz val="10"/>
        <color theme="1"/>
        <rFont val="Calibri"/>
        <family val="2"/>
        <scheme val="minor"/>
      </rPr>
      <t>• Arredondar valores para a segunda casa decimal;
• Não inserir valores menores do que os estabelecidos na Convenção Coletiva da categoria.</t>
    </r>
  </si>
  <si>
    <t>Local</t>
  </si>
  <si>
    <t>Dias efetivamente trabalhados por mês</t>
  </si>
  <si>
    <t>Prazo contratual (meses)</t>
  </si>
  <si>
    <t>ORÇAMENTO - POR POSTO</t>
  </si>
  <si>
    <t>(1) Remuneração</t>
  </si>
  <si>
    <t>Salário Base</t>
  </si>
  <si>
    <t>(2) Benefícios mensais e diários</t>
  </si>
  <si>
    <t>Custo mensal</t>
  </si>
  <si>
    <t>Parcela do trabalhador</t>
  </si>
  <si>
    <t>Crédito PIS/COFINS</t>
  </si>
  <si>
    <t>Vale Refeição</t>
  </si>
  <si>
    <t>Valor diário</t>
  </si>
  <si>
    <t>Valor Unitário</t>
  </si>
  <si>
    <t>Parcela trabalhador</t>
  </si>
  <si>
    <t>Valor</t>
  </si>
  <si>
    <t>Norma Regulamentadora nº 07</t>
  </si>
  <si>
    <t>(3) Insumos diversos</t>
  </si>
  <si>
    <t>Uniformes e EPIs</t>
  </si>
  <si>
    <t>(4) Encargos Sociais e Trabalhistas</t>
  </si>
  <si>
    <t>Percentual sobre o salário base</t>
  </si>
  <si>
    <t>(5) BDI</t>
  </si>
  <si>
    <t>Percentual sobre os itens (1)+(2)+(3)+(4)</t>
  </si>
  <si>
    <t>Total - valor unitário mensal - (1)+(2)+(3)+(4)+(5)</t>
  </si>
  <si>
    <t>Valor do desconto por dia não trabalhado</t>
  </si>
  <si>
    <r>
      <t xml:space="preserve">• Preencher apenas as células destacadas em </t>
    </r>
    <r>
      <rPr>
        <b/>
        <sz val="10"/>
        <color rgb="FF0070C0"/>
        <rFont val="Calibri"/>
        <family val="2"/>
        <scheme val="minor"/>
      </rPr>
      <t>azul</t>
    </r>
    <r>
      <rPr>
        <b/>
        <sz val="10"/>
        <color theme="1"/>
        <rFont val="Calibri"/>
        <family val="2"/>
        <scheme val="minor"/>
      </rPr>
      <t>;
• Arredondar valores para a quarta casa decimal;
• Os valores deverão ser preenchidos com os percentuais próprios da empresa, tendo por base a sua realidade.</t>
    </r>
  </si>
  <si>
    <t>CÁLCULO DOS ENCARGOS SOCIAIS E TRABALHISTAS</t>
  </si>
  <si>
    <t>Grupo A - Encargos sociais básicos</t>
  </si>
  <si>
    <t>Previdência Social</t>
  </si>
  <si>
    <t>SESI</t>
  </si>
  <si>
    <t>SENAI</t>
  </si>
  <si>
    <t>INCRA</t>
  </si>
  <si>
    <t>SEBRAE</t>
  </si>
  <si>
    <t>Salário-educação</t>
  </si>
  <si>
    <t>Fundo de Garantia por Tempo de Serviço</t>
  </si>
  <si>
    <t>Seguro contra acidentes de trabalho (SAT) (RATxFAP)</t>
  </si>
  <si>
    <t>Grupo B - Tempo remunerado e não trabalhado</t>
  </si>
  <si>
    <t>Férias</t>
  </si>
  <si>
    <t>Licença paternidade</t>
  </si>
  <si>
    <t>Acidente de trabalho</t>
  </si>
  <si>
    <t>Aviso prévio trabalho</t>
  </si>
  <si>
    <t>GRUPO C - Adicional de férias e 13º Salário</t>
  </si>
  <si>
    <t>Adicional de férias</t>
  </si>
  <si>
    <t>13º salário</t>
  </si>
  <si>
    <t>GRUPO D -Obrigações rescisórias</t>
  </si>
  <si>
    <t>Aviso prévio indenizado</t>
  </si>
  <si>
    <t>Incidência do FGTS sobre o aviso prévio indenizado</t>
  </si>
  <si>
    <t>Inc. da multa FGTS e da Contribuição Social sobre os depósitos do FGTS</t>
  </si>
  <si>
    <t>Inc. da multa FGTS e da Contribuição Social sobre o aviso prévio indenizado</t>
  </si>
  <si>
    <t>Inc. da multa FGTS e da Contribuição Social sobre o aviso prévio trabalhado</t>
  </si>
  <si>
    <t>GRUPO E - Aprovisionamento de casos especiais</t>
  </si>
  <si>
    <t>Incidência do Grupo A sobre afastamento por licença maternidade</t>
  </si>
  <si>
    <t>Incidência do FGTS sobre o acidente de trabalho &gt; 15 dias</t>
  </si>
  <si>
    <t>Percentual referente ao abono pecúniário</t>
  </si>
  <si>
    <t>Percentual referente ao reflexo do aviso prévio indenizado sobre férias e 13º salário</t>
  </si>
  <si>
    <t>Incidência do FGTS sobre reflexo do aviso prévio indenizado sobre 13º salário</t>
  </si>
  <si>
    <t>Percentual referente a demitidos a 30 dias da data-base</t>
  </si>
  <si>
    <t xml:space="preserve">GRUPO F – Incidências cumulativas - Incidência Grupo A x (Grupos B + C) </t>
  </si>
  <si>
    <t>Incidência Grupo A sobre o Grupo B</t>
  </si>
  <si>
    <t>Incidência Grupo A sobre o Grupo C</t>
  </si>
  <si>
    <t>TOTAL DOS ENCARGOS SOCIAIS (Percentual do salário base)</t>
  </si>
  <si>
    <t>ORÇAMENTO SINTÉTICO - CONSOLIDADO POR ITEM</t>
  </si>
  <si>
    <t>Unidade</t>
  </si>
  <si>
    <t>Quantidade</t>
  </si>
  <si>
    <t>Periodicidade do pagamento</t>
  </si>
  <si>
    <t>Valor total mensal</t>
  </si>
  <si>
    <t>Valor total do contrato</t>
  </si>
  <si>
    <t>Posto</t>
  </si>
  <si>
    <t>Mensal</t>
  </si>
  <si>
    <t>Valor unitário mensal</t>
  </si>
  <si>
    <t>Detalhamento valor unitário</t>
  </si>
  <si>
    <t>Remuneração</t>
  </si>
  <si>
    <t>Outros benefícios</t>
  </si>
  <si>
    <t>Insumos diversos</t>
  </si>
  <si>
    <t>Encargos sociais e trabalhistas</t>
  </si>
  <si>
    <t>CRONOGRAMA FÍSICO-FINANCEIRO</t>
  </si>
  <si>
    <t>Ano</t>
  </si>
  <si>
    <t>Quantidade Meses</t>
  </si>
  <si>
    <t>Valor Mensal</t>
  </si>
  <si>
    <t>Valor Anual</t>
  </si>
  <si>
    <t>Itens</t>
  </si>
  <si>
    <t>Quantidade por funcionário (1)</t>
  </si>
  <si>
    <t>Vida útil (meses) (2)</t>
  </si>
  <si>
    <t>Custo unitário (R$) (3)</t>
  </si>
  <si>
    <t>Valor mensal (R$)
(1)*(3)÷(2)</t>
  </si>
  <si>
    <t>Masculino</t>
  </si>
  <si>
    <t>CadTerc Vol. 02 - 2024</t>
  </si>
  <si>
    <t>Sapato</t>
  </si>
  <si>
    <t>Cinto</t>
  </si>
  <si>
    <t>Meia</t>
  </si>
  <si>
    <t>Crachá de identificação</t>
  </si>
  <si>
    <t>Feminino</t>
  </si>
  <si>
    <t>Blazer feminino</t>
  </si>
  <si>
    <t>Custo Mensal Masc.</t>
  </si>
  <si>
    <t>Custo Mensal Fem.</t>
  </si>
  <si>
    <t>Calça feminina</t>
  </si>
  <si>
    <t>Calça masculina</t>
  </si>
  <si>
    <t>Sapato/sapatênis</t>
  </si>
  <si>
    <t>Blusa/camisa de manga curta</t>
  </si>
  <si>
    <t>Blusa/camisa de manga comprida</t>
  </si>
  <si>
    <t>Camisa de manga curta (polo)</t>
  </si>
  <si>
    <t>Blusa de frio (jaqueta, blazer ou similar)</t>
  </si>
  <si>
    <t>Hora</t>
  </si>
  <si>
    <t>Eventual</t>
  </si>
  <si>
    <t>Operador de Reprografia 44h</t>
  </si>
  <si>
    <t>Dia da categoria (Dia do Comerciário)</t>
  </si>
  <si>
    <t>Auxílio Funeral</t>
  </si>
  <si>
    <t>Memória de Cálculo - Uniformes - Operador de Reprografia</t>
  </si>
  <si>
    <t>Operador de Reprografia</t>
  </si>
  <si>
    <t>%</t>
  </si>
  <si>
    <t>ANEXO D - PLANILHA DE PREÇOS</t>
  </si>
  <si>
    <t>ITEM</t>
  </si>
  <si>
    <t>Descrição</t>
  </si>
  <si>
    <t>Valor fixo por equipamento (R$)</t>
  </si>
  <si>
    <t>Quantidade estimada de impressões / cópias Monocromático A4 (X100)</t>
  </si>
  <si>
    <t>Valor da impressão / cópia Mono A4 (x100)</t>
  </si>
  <si>
    <t>Quantidade estimada de impressões / cópias Policromático A4 (X100)</t>
  </si>
  <si>
    <t>Valor da impressão / cópia Poli A4 (x100)</t>
  </si>
  <si>
    <t>Quantidade estimada de impressões / cópias Policromático A3 (X100)</t>
  </si>
  <si>
    <t>Valor da impressão / cópia Poli A3 (x100)</t>
  </si>
  <si>
    <t>Quantidade estimada de impressões / cópias Policromático A2 (X100)</t>
  </si>
  <si>
    <t>Valor da impressão / cópia Poli A2 (x100)</t>
  </si>
  <si>
    <t>Quantidade estimada de impressões / cópias Policromático A1 (X100)</t>
  </si>
  <si>
    <t>Valor da impressão / cópia Poli A1 (x100)</t>
  </si>
  <si>
    <t>Subtotal mensal (R$)</t>
  </si>
  <si>
    <t>Marca e Modelo do equipamento</t>
  </si>
  <si>
    <t>Outsourcing de impressão – modalidade locação de equipamento com pagamento por páginas impressas – policromática até A3 – com papel</t>
  </si>
  <si>
    <t>Não aplicável</t>
  </si>
  <si>
    <t>Outsourcing de impressão – modalidade locação de equipamento com pagamento por páginas impressas – policromática até A1 – com papel</t>
  </si>
  <si>
    <t>Outsourcing de impressão – modalidade locação de equipamento com pagamento por páginas impressas - scanner de produção A3</t>
  </si>
  <si>
    <t>Valor fixo por posto / hora-extra (R$)</t>
  </si>
  <si>
    <t>Posto de serviço – Operador de Reprografia Diurno</t>
  </si>
  <si>
    <t>Operador de Reprografia Diurno (hora estimada de serviço extraordinário)</t>
  </si>
  <si>
    <t>30 horas/mês</t>
  </si>
  <si>
    <t>VALOR TOTAL MENSAL (R$)</t>
  </si>
  <si>
    <t>Valor Total Global para 60 meses (R$)</t>
  </si>
  <si>
    <t>Equipamento + Produção</t>
  </si>
  <si>
    <t>Equipamento</t>
  </si>
  <si>
    <t>ORÇAMENTO ANALÍTICO - MÃO DE OBRA</t>
  </si>
  <si>
    <t>ORÇAMENTO ANALÍTICO - EQUIPAMENTO E PRODUÇÃO</t>
  </si>
  <si>
    <t>Valor unitário mensal (equipamento)</t>
  </si>
  <si>
    <t>Valor total mensal (equipamento + produção)</t>
  </si>
  <si>
    <t>Policromática até A3 – com papel</t>
  </si>
  <si>
    <t>Policromática até A1 – com papel</t>
  </si>
  <si>
    <t>Scanner de produção A3</t>
  </si>
  <si>
    <t>VALOR TOTAL DO CONTRATO (60 meses)</t>
  </si>
  <si>
    <t>SECSP x FECOMERCIO</t>
  </si>
  <si>
    <t>1º de setembro</t>
  </si>
  <si>
    <t>CadTerc Vol. 14 e 19</t>
  </si>
  <si>
    <t>Lei 9.718/1998, Lei 10.833/2003, Lei 10.637/2002 e Lei Complementar nº 123/2006</t>
  </si>
  <si>
    <t>Observações:</t>
  </si>
  <si>
    <t>1) Os valores e a metodologia do cálculo foram extraídos dos Estudos Técnicos de Serviços Terceirizados do Governo do Estado de São Paulo (CADTERC) - Volume 14 - Impressão Corporativa por meio de Outsourcing -Versão 1: Setembro/2023 e Volume 19 - Recepção - Versão 1: Março/2024</t>
  </si>
  <si>
    <t>2) Convenção Coletiva de Trabalho (CCT) firmada entre o  Sindicato dos Comerciários de São Paulo (SECSP) e a Federação do Comércio de Bens, Serviços e Turismo do Estado de São Paulo (FECOMERCIO-SP). Vigência de 1º de setembro de 2024 a 31 de agosto de 2025 e a data-base da categoria em 1º de setembro. Número de Registro no MTE SP 10260.228009/2024-51.</t>
  </si>
  <si>
    <t>3) Vale transporte - Fonte: sptrans. Pesquisa realizada em 01/2025.</t>
  </si>
  <si>
    <t>4) Alíquota - ISS - Fonte: códigos tributários municipais e outras legislações pertinentes.</t>
  </si>
  <si>
    <t>BDI - Calculado de acordo com a seguinte fórmula:</t>
  </si>
  <si>
    <t>Fonte: CadTerc vol. 19 - 2024 - Jornada 44h seg a sex</t>
  </si>
  <si>
    <t>Fonte/Cálculo</t>
  </si>
  <si>
    <t>CCT 2024/2025 - Cláusula 4ª</t>
  </si>
  <si>
    <t>CCT 2024/2025 - Cláusula 40ª</t>
  </si>
  <si>
    <t>CCT 2024/2025 - Cláusula 41ª - 2 tarifas* Dias trabalhados por mês</t>
  </si>
  <si>
    <t>CCT 2024/2025 - Cláusula 41ª - 6% do salário base</t>
  </si>
  <si>
    <t>CCT 2024/2025 - Cláusula 45ª</t>
  </si>
  <si>
    <t>Desconto de até 20% conforme legislação</t>
  </si>
  <si>
    <t>CCT 2024/2025 - Cláusula 43ª</t>
  </si>
  <si>
    <t>Calculado na tabela "Encargos Sociais"</t>
  </si>
  <si>
    <t>Calculado na tabela "Dados da Empresa - VT, ISS E Resultado do BDI"</t>
  </si>
  <si>
    <t>= Valor unitário mensal/Dias efetivamente trabalhados por mês</t>
  </si>
  <si>
    <t>Fonte/Fundamento</t>
  </si>
  <si>
    <t>Lei nº 8.212/91</t>
  </si>
  <si>
    <t>Lei nº 8.036/90</t>
  </si>
  <si>
    <t>DL nº 2.318/86</t>
  </si>
  <si>
    <t>DL nº 1.146/70</t>
  </si>
  <si>
    <t>Lei nº 8.029/90</t>
  </si>
  <si>
    <t>Lei nº 9.424/96, DL nº 6.003/2006 e art. 212, § 5º da CF</t>
  </si>
  <si>
    <t>Lei nº 8.212/91, nº 10.666/2009, Res. MPS/CNPS nº 1.308/2009</t>
  </si>
  <si>
    <t>CadTerc vol. 19 - 2024</t>
  </si>
  <si>
    <t>Ausência por enfermidade &lt;= 15 dias</t>
  </si>
  <si>
    <t>Ausências legais</t>
  </si>
  <si>
    <t>Valor - Serviços Extraordinários (por hora)</t>
  </si>
  <si>
    <t>= Valor unitário mensal/220 horas + 100% (CCT 2024/2025  - CLÁUSULA 46ª)</t>
  </si>
  <si>
    <t>Lucro presumido - Incidência cumulativa de PIS e COFINS</t>
  </si>
  <si>
    <t>Sim</t>
  </si>
  <si>
    <t>Outras parcelas salariais</t>
  </si>
  <si>
    <t>Outros Benefícios</t>
  </si>
  <si>
    <t>Campo destinado a parcelas salariais previstas em CCT apontada pelo licitante</t>
  </si>
  <si>
    <t>Campo destinado a outros benefícios apontados pelo licitante</t>
  </si>
  <si>
    <t>Fonte: CadTerc Vols. 14 e 19. - 2024</t>
  </si>
  <si>
    <t>CadTerc Vol. 14 - 2023 (com correção pelo índice IPC-Fipe (Ago/2023 a Jan/2025: 1,0621)</t>
  </si>
  <si>
    <t>CadTerc Vols. 2 e 19 - 2024 (com correção pelo índice IPC-Fipe (Fev/2024 a Jan/2025: 1,0446)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</si>
</sst>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&quot;R$&quot;\ #,##0.00;\-&quot;R$&quot;\ #,##0.00;\-"/>
    <numFmt numFmtId="166" formatCode="0;;\-"/>
    <numFmt numFmtId="167" formatCode="0.000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b/>
      <sz val="2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8">
    <xf numFmtId="0" fontId="0" fillId="0" borderId="0" xfId="0"/>
    <xf numFmtId="9" fontId="7" fillId="4" borderId="25" xfId="1" applyFont="1" applyFill="1" applyBorder="1" applyAlignment="1" applyProtection="1">
      <alignment horizontal="left" vertical="center" wrapText="1" indent="4"/>
    </xf>
    <xf numFmtId="0" fontId="0" fillId="4" borderId="0" xfId="0" applyFill="1"/>
    <xf numFmtId="0" fontId="3" fillId="4" borderId="0" xfId="0" applyFont="1" applyFill="1" applyAlignment="1">
      <alignment horizontal="center" vertical="center"/>
    </xf>
    <xf numFmtId="8" fontId="0" fillId="4" borderId="0" xfId="0" applyNumberFormat="1" applyFill="1"/>
    <xf numFmtId="0" fontId="5" fillId="5" borderId="13" xfId="0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" fillId="5" borderId="18" xfId="0" applyFont="1" applyFill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10" fontId="6" fillId="0" borderId="21" xfId="1" applyNumberFormat="1" applyFont="1" applyFill="1" applyBorder="1" applyAlignment="1" applyProtection="1">
      <alignment horizontal="center" vertical="center"/>
    </xf>
    <xf numFmtId="0" fontId="6" fillId="4" borderId="13" xfId="0" applyFont="1" applyFill="1" applyBorder="1" applyAlignment="1">
      <alignment vertical="center"/>
    </xf>
    <xf numFmtId="167" fontId="5" fillId="5" borderId="35" xfId="0" applyNumberFormat="1" applyFont="1" applyFill="1" applyBorder="1" applyAlignment="1">
      <alignment horizontal="center" vertical="center" wrapText="1"/>
    </xf>
    <xf numFmtId="167" fontId="5" fillId="5" borderId="9" xfId="0" applyNumberFormat="1" applyFont="1" applyFill="1" applyBorder="1" applyAlignment="1">
      <alignment horizontal="center" vertical="center" wrapText="1"/>
    </xf>
    <xf numFmtId="167" fontId="5" fillId="0" borderId="22" xfId="0" applyNumberFormat="1" applyFont="1" applyBorder="1" applyAlignment="1">
      <alignment horizontal="center" vertical="center" wrapText="1"/>
    </xf>
    <xf numFmtId="7" fontId="0" fillId="4" borderId="0" xfId="0" applyNumberFormat="1" applyFill="1"/>
    <xf numFmtId="167" fontId="6" fillId="4" borderId="9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8" fontId="3" fillId="4" borderId="0" xfId="0" applyNumberFormat="1" applyFont="1" applyFill="1" applyAlignment="1">
      <alignment horizontal="center" vertical="center"/>
    </xf>
    <xf numFmtId="0" fontId="3" fillId="4" borderId="0" xfId="0" applyFont="1" applyFill="1"/>
    <xf numFmtId="0" fontId="3" fillId="4" borderId="0" xfId="0" applyFont="1" applyFill="1" applyAlignment="1">
      <alignment horizontal="center" vertical="center" wrapText="1"/>
    </xf>
    <xf numFmtId="0" fontId="4" fillId="0" borderId="23" xfId="2" applyNumberFormat="1" applyFont="1" applyFill="1" applyBorder="1" applyAlignment="1" applyProtection="1">
      <alignment horizontal="center" vertical="center"/>
    </xf>
    <xf numFmtId="3" fontId="4" fillId="4" borderId="22" xfId="2" applyNumberFormat="1" applyFont="1" applyFill="1" applyBorder="1" applyAlignment="1" applyProtection="1">
      <alignment horizontal="center" vertical="center"/>
    </xf>
    <xf numFmtId="167" fontId="6" fillId="0" borderId="9" xfId="0" applyNumberFormat="1" applyFont="1" applyBorder="1" applyAlignment="1">
      <alignment horizontal="center" vertical="center"/>
    </xf>
    <xf numFmtId="167" fontId="6" fillId="0" borderId="37" xfId="0" applyNumberFormat="1" applyFont="1" applyBorder="1" applyAlignment="1">
      <alignment horizontal="center" vertical="center"/>
    </xf>
    <xf numFmtId="0" fontId="3" fillId="4" borderId="9" xfId="3" applyNumberFormat="1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10" fontId="6" fillId="3" borderId="11" xfId="1" applyNumberFormat="1" applyFont="1" applyFill="1" applyBorder="1" applyAlignment="1" applyProtection="1">
      <alignment horizontal="center" vertical="center"/>
    </xf>
    <xf numFmtId="10" fontId="6" fillId="3" borderId="16" xfId="1" applyNumberFormat="1" applyFont="1" applyFill="1" applyBorder="1" applyAlignment="1" applyProtection="1">
      <alignment horizontal="center" vertical="center"/>
    </xf>
    <xf numFmtId="10" fontId="6" fillId="3" borderId="36" xfId="1" applyNumberFormat="1" applyFont="1" applyFill="1" applyBorder="1" applyAlignment="1" applyProtection="1">
      <alignment horizontal="center" vertical="center"/>
    </xf>
    <xf numFmtId="10" fontId="6" fillId="3" borderId="35" xfId="1" applyNumberFormat="1" applyFont="1" applyFill="1" applyBorder="1" applyAlignment="1" applyProtection="1">
      <alignment horizontal="center" vertical="center"/>
    </xf>
    <xf numFmtId="167" fontId="6" fillId="3" borderId="9" xfId="0" applyNumberFormat="1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4" fontId="4" fillId="4" borderId="14" xfId="2" applyNumberFormat="1" applyFont="1" applyFill="1" applyBorder="1" applyAlignment="1" applyProtection="1">
      <alignment horizontal="center" vertical="center"/>
    </xf>
    <xf numFmtId="8" fontId="4" fillId="2" borderId="6" xfId="2" applyNumberFormat="1" applyFont="1" applyFill="1" applyBorder="1" applyAlignment="1" applyProtection="1">
      <alignment horizontal="right" vertical="center"/>
    </xf>
    <xf numFmtId="8" fontId="3" fillId="3" borderId="28" xfId="2" applyNumberFormat="1" applyFont="1" applyFill="1" applyBorder="1" applyAlignment="1" applyProtection="1">
      <alignment horizontal="right" vertical="center"/>
    </xf>
    <xf numFmtId="8" fontId="7" fillId="4" borderId="28" xfId="2" applyNumberFormat="1" applyFont="1" applyFill="1" applyBorder="1" applyAlignment="1" applyProtection="1">
      <alignment horizontal="right" vertical="center"/>
    </xf>
    <xf numFmtId="8" fontId="4" fillId="2" borderId="28" xfId="2" applyNumberFormat="1" applyFont="1" applyFill="1" applyBorder="1" applyAlignment="1" applyProtection="1">
      <alignment horizontal="right" vertical="center"/>
    </xf>
    <xf numFmtId="8" fontId="4" fillId="4" borderId="28" xfId="2" applyNumberFormat="1" applyFont="1" applyFill="1" applyBorder="1" applyAlignment="1" applyProtection="1">
      <alignment horizontal="right" vertical="center"/>
    </xf>
    <xf numFmtId="8" fontId="3" fillId="4" borderId="28" xfId="2" applyNumberFormat="1" applyFont="1" applyFill="1" applyBorder="1" applyAlignment="1" applyProtection="1">
      <alignment horizontal="right" vertical="center"/>
    </xf>
    <xf numFmtId="8" fontId="4" fillId="3" borderId="28" xfId="2" applyNumberFormat="1" applyFont="1" applyFill="1" applyBorder="1" applyAlignment="1" applyProtection="1">
      <alignment horizontal="right" vertical="center"/>
    </xf>
    <xf numFmtId="164" fontId="3" fillId="4" borderId="28" xfId="2" applyNumberFormat="1" applyFont="1" applyFill="1" applyBorder="1" applyAlignment="1" applyProtection="1">
      <alignment horizontal="right" vertical="center"/>
    </xf>
    <xf numFmtId="164" fontId="7" fillId="4" borderId="28" xfId="1" applyNumberFormat="1" applyFont="1" applyFill="1" applyBorder="1" applyAlignment="1" applyProtection="1">
      <alignment horizontal="right" vertical="center"/>
    </xf>
    <xf numFmtId="164" fontId="4" fillId="2" borderId="28" xfId="2" applyNumberFormat="1" applyFont="1" applyFill="1" applyBorder="1" applyAlignment="1" applyProtection="1">
      <alignment horizontal="right" vertical="center"/>
    </xf>
    <xf numFmtId="10" fontId="3" fillId="4" borderId="28" xfId="1" applyNumberFormat="1" applyFont="1" applyFill="1" applyBorder="1" applyAlignment="1" applyProtection="1">
      <alignment horizontal="right" vertical="center"/>
    </xf>
    <xf numFmtId="164" fontId="3" fillId="4" borderId="28" xfId="1" applyNumberFormat="1" applyFont="1" applyFill="1" applyBorder="1" applyAlignment="1" applyProtection="1">
      <alignment horizontal="right" vertical="center"/>
    </xf>
    <xf numFmtId="164" fontId="3" fillId="4" borderId="30" xfId="1" applyNumberFormat="1" applyFont="1" applyFill="1" applyBorder="1" applyAlignment="1" applyProtection="1">
      <alignment horizontal="right" vertical="center"/>
    </xf>
    <xf numFmtId="164" fontId="4" fillId="4" borderId="3" xfId="2" applyNumberFormat="1" applyFont="1" applyFill="1" applyBorder="1" applyAlignment="1" applyProtection="1">
      <alignment horizontal="right" vertical="center"/>
    </xf>
    <xf numFmtId="166" fontId="3" fillId="4" borderId="34" xfId="0" applyNumberFormat="1" applyFont="1" applyFill="1" applyBorder="1" applyAlignment="1">
      <alignment horizontal="center" vertical="center"/>
    </xf>
    <xf numFmtId="165" fontId="3" fillId="4" borderId="34" xfId="0" applyNumberFormat="1" applyFont="1" applyFill="1" applyBorder="1" applyAlignment="1">
      <alignment horizontal="center" vertical="center"/>
    </xf>
    <xf numFmtId="165" fontId="3" fillId="4" borderId="22" xfId="0" applyNumberFormat="1" applyFont="1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165" fontId="3" fillId="4" borderId="61" xfId="0" applyNumberFormat="1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4" fillId="8" borderId="58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center" vertical="center" wrapText="1"/>
    </xf>
    <xf numFmtId="8" fontId="3" fillId="3" borderId="34" xfId="2" applyNumberFormat="1" applyFont="1" applyFill="1" applyBorder="1" applyAlignment="1" applyProtection="1">
      <alignment horizontal="center" vertical="center"/>
    </xf>
    <xf numFmtId="164" fontId="4" fillId="4" borderId="5" xfId="2" applyNumberFormat="1" applyFont="1" applyFill="1" applyBorder="1" applyAlignment="1" applyProtection="1">
      <alignment horizontal="right" vertical="center"/>
    </xf>
    <xf numFmtId="0" fontId="13" fillId="9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166" fontId="3" fillId="4" borderId="9" xfId="0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13" fillId="9" borderId="54" xfId="0" applyFont="1" applyFill="1" applyBorder="1" applyAlignment="1">
      <alignment horizontal="center" vertical="center" wrapText="1"/>
    </xf>
    <xf numFmtId="0" fontId="4" fillId="8" borderId="45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166" fontId="3" fillId="4" borderId="0" xfId="0" applyNumberFormat="1" applyFont="1" applyFill="1" applyAlignment="1">
      <alignment horizontal="center" vertical="center"/>
    </xf>
    <xf numFmtId="165" fontId="3" fillId="4" borderId="0" xfId="0" applyNumberFormat="1" applyFont="1" applyFill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14" fillId="0" borderId="66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44" fontId="3" fillId="4" borderId="9" xfId="3" applyFont="1" applyFill="1" applyBorder="1" applyAlignment="1">
      <alignment horizontal="center" vertical="center"/>
    </xf>
    <xf numFmtId="44" fontId="3" fillId="4" borderId="14" xfId="3" applyFont="1" applyFill="1" applyBorder="1" applyAlignment="1">
      <alignment horizontal="center" vertical="center"/>
    </xf>
    <xf numFmtId="44" fontId="3" fillId="4" borderId="16" xfId="3" applyFont="1" applyFill="1" applyBorder="1" applyAlignment="1">
      <alignment horizontal="center" vertical="center"/>
    </xf>
    <xf numFmtId="44" fontId="3" fillId="4" borderId="17" xfId="3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/>
    </xf>
    <xf numFmtId="44" fontId="3" fillId="4" borderId="54" xfId="3" applyFont="1" applyFill="1" applyBorder="1" applyAlignment="1">
      <alignment horizontal="center" vertical="center"/>
    </xf>
    <xf numFmtId="44" fontId="3" fillId="4" borderId="58" xfId="3" applyFont="1" applyFill="1" applyBorder="1" applyAlignment="1">
      <alignment horizontal="center" vertical="center"/>
    </xf>
    <xf numFmtId="44" fontId="16" fillId="10" borderId="9" xfId="3" applyFont="1" applyFill="1" applyBorder="1" applyAlignment="1" applyProtection="1">
      <alignment horizontal="center" vertical="center"/>
      <protection locked="0"/>
    </xf>
    <xf numFmtId="0" fontId="16" fillId="10" borderId="9" xfId="0" applyFont="1" applyFill="1" applyBorder="1" applyAlignment="1" applyProtection="1">
      <alignment horizontal="center" vertical="center"/>
      <protection locked="0"/>
    </xf>
    <xf numFmtId="44" fontId="16" fillId="0" borderId="9" xfId="3" applyFont="1" applyBorder="1" applyAlignment="1" applyProtection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4" borderId="54" xfId="0" applyFill="1" applyBorder="1" applyAlignment="1">
      <alignment horizontal="center" vertical="center"/>
    </xf>
    <xf numFmtId="0" fontId="0" fillId="4" borderId="58" xfId="0" applyFill="1" applyBorder="1" applyAlignment="1">
      <alignment horizontal="center" vertical="center"/>
    </xf>
    <xf numFmtId="0" fontId="14" fillId="0" borderId="64" xfId="0" applyFont="1" applyBorder="1" applyAlignment="1">
      <alignment horizontal="center" vertical="center" wrapText="1"/>
    </xf>
    <xf numFmtId="44" fontId="0" fillId="0" borderId="47" xfId="3" applyFont="1" applyBorder="1" applyAlignment="1">
      <alignment horizontal="center" vertical="center"/>
    </xf>
    <xf numFmtId="44" fontId="0" fillId="0" borderId="39" xfId="3" applyFont="1" applyBorder="1" applyAlignment="1">
      <alignment horizontal="center" vertical="center"/>
    </xf>
    <xf numFmtId="44" fontId="0" fillId="4" borderId="39" xfId="3" applyFont="1" applyFill="1" applyBorder="1" applyAlignment="1">
      <alignment horizontal="center" vertical="center"/>
    </xf>
    <xf numFmtId="44" fontId="0" fillId="4" borderId="42" xfId="3" applyFont="1" applyFill="1" applyBorder="1" applyAlignment="1">
      <alignment horizontal="center" vertical="center"/>
    </xf>
    <xf numFmtId="44" fontId="0" fillId="0" borderId="64" xfId="3" applyFont="1" applyBorder="1" applyAlignment="1">
      <alignment horizontal="center" vertical="center"/>
    </xf>
    <xf numFmtId="44" fontId="0" fillId="4" borderId="66" xfId="3" applyFont="1" applyFill="1" applyBorder="1" applyAlignment="1">
      <alignment horizontal="center" vertical="center"/>
    </xf>
    <xf numFmtId="44" fontId="2" fillId="4" borderId="4" xfId="3" applyFont="1" applyFill="1" applyBorder="1" applyAlignment="1">
      <alignment horizontal="center"/>
    </xf>
    <xf numFmtId="44" fontId="0" fillId="4" borderId="65" xfId="3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70" xfId="0" applyFont="1" applyFill="1" applyBorder="1" applyAlignment="1">
      <alignment horizontal="center" vertical="center"/>
    </xf>
    <xf numFmtId="0" fontId="4" fillId="2" borderId="71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44" fontId="4" fillId="0" borderId="61" xfId="3" applyFont="1" applyBorder="1" applyAlignment="1">
      <alignment horizontal="center" vertical="center"/>
    </xf>
    <xf numFmtId="10" fontId="4" fillId="0" borderId="22" xfId="1" applyNumberFormat="1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3" fillId="4" borderId="11" xfId="3" applyNumberFormat="1" applyFont="1" applyFill="1" applyBorder="1" applyAlignment="1">
      <alignment horizontal="center" vertical="center"/>
    </xf>
    <xf numFmtId="44" fontId="3" fillId="4" borderId="11" xfId="3" applyFont="1" applyFill="1" applyBorder="1" applyAlignment="1">
      <alignment horizontal="center" vertical="center"/>
    </xf>
    <xf numFmtId="10" fontId="4" fillId="4" borderId="12" xfId="1" applyNumberFormat="1" applyFont="1" applyFill="1" applyBorder="1" applyAlignment="1">
      <alignment horizontal="center" vertical="center"/>
    </xf>
    <xf numFmtId="10" fontId="4" fillId="4" borderId="14" xfId="1" applyNumberFormat="1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3" fillId="4" borderId="16" xfId="3" applyNumberFormat="1" applyFont="1" applyFill="1" applyBorder="1" applyAlignment="1">
      <alignment horizontal="center" vertical="center"/>
    </xf>
    <xf numFmtId="10" fontId="4" fillId="4" borderId="17" xfId="1" applyNumberFormat="1" applyFont="1" applyFill="1" applyBorder="1" applyAlignment="1">
      <alignment horizontal="center" vertical="center"/>
    </xf>
    <xf numFmtId="8" fontId="4" fillId="2" borderId="41" xfId="2" applyNumberFormat="1" applyFont="1" applyFill="1" applyBorder="1" applyAlignment="1" applyProtection="1">
      <alignment horizontal="right" vertical="center"/>
    </xf>
    <xf numFmtId="8" fontId="3" fillId="7" borderId="28" xfId="2" applyNumberFormat="1" applyFont="1" applyFill="1" applyBorder="1" applyAlignment="1" applyProtection="1">
      <alignment horizontal="right" vertical="center"/>
    </xf>
    <xf numFmtId="10" fontId="5" fillId="5" borderId="12" xfId="0" applyNumberFormat="1" applyFont="1" applyFill="1" applyBorder="1" applyAlignment="1">
      <alignment horizontal="center" vertical="center" wrapText="1"/>
    </xf>
    <xf numFmtId="10" fontId="6" fillId="0" borderId="14" xfId="0" applyNumberFormat="1" applyFont="1" applyBorder="1" applyAlignment="1">
      <alignment horizontal="center" vertical="center"/>
    </xf>
    <xf numFmtId="10" fontId="5" fillId="5" borderId="14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4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46" xfId="0" applyFont="1" applyFill="1" applyBorder="1" applyAlignment="1">
      <alignment horizontal="left" vertical="center"/>
    </xf>
    <xf numFmtId="0" fontId="7" fillId="4" borderId="25" xfId="0" applyFont="1" applyFill="1" applyBorder="1" applyAlignment="1">
      <alignment horizontal="left" vertical="center" wrapText="1" indent="2"/>
    </xf>
    <xf numFmtId="0" fontId="3" fillId="4" borderId="66" xfId="0" applyFont="1" applyFill="1" applyBorder="1" applyAlignment="1">
      <alignment vertical="center"/>
    </xf>
    <xf numFmtId="8" fontId="3" fillId="7" borderId="28" xfId="0" applyNumberFormat="1" applyFont="1" applyFill="1" applyBorder="1" applyAlignment="1">
      <alignment horizontal="right"/>
    </xf>
    <xf numFmtId="0" fontId="3" fillId="4" borderId="74" xfId="0" applyFont="1" applyFill="1" applyBorder="1" applyAlignment="1">
      <alignment horizontal="center" vertical="center"/>
    </xf>
    <xf numFmtId="0" fontId="4" fillId="2" borderId="25" xfId="0" applyFont="1" applyFill="1" applyBorder="1"/>
    <xf numFmtId="0" fontId="4" fillId="4" borderId="25" xfId="0" applyFont="1" applyFill="1" applyBorder="1" applyAlignment="1">
      <alignment horizontal="left" indent="2"/>
    </xf>
    <xf numFmtId="0" fontId="3" fillId="4" borderId="25" xfId="0" applyFont="1" applyFill="1" applyBorder="1" applyAlignment="1">
      <alignment horizontal="left" indent="4"/>
    </xf>
    <xf numFmtId="8" fontId="3" fillId="4" borderId="28" xfId="0" applyNumberFormat="1" applyFont="1" applyFill="1" applyBorder="1" applyAlignment="1">
      <alignment horizontal="right"/>
    </xf>
    <xf numFmtId="0" fontId="7" fillId="4" borderId="25" xfId="0" applyFont="1" applyFill="1" applyBorder="1" applyAlignment="1">
      <alignment horizontal="left" vertical="center" wrapText="1" indent="4"/>
    </xf>
    <xf numFmtId="0" fontId="7" fillId="4" borderId="25" xfId="0" applyFont="1" applyFill="1" applyBorder="1" applyAlignment="1">
      <alignment horizontal="left" vertical="center" wrapText="1" indent="6"/>
    </xf>
    <xf numFmtId="0" fontId="3" fillId="4" borderId="25" xfId="0" applyFont="1" applyFill="1" applyBorder="1" applyAlignment="1">
      <alignment horizontal="left" indent="2"/>
    </xf>
    <xf numFmtId="0" fontId="4" fillId="2" borderId="25" xfId="0" applyFont="1" applyFill="1" applyBorder="1" applyAlignment="1">
      <alignment horizontal="left"/>
    </xf>
    <xf numFmtId="8" fontId="4" fillId="4" borderId="28" xfId="0" applyNumberFormat="1" applyFont="1" applyFill="1" applyBorder="1" applyAlignment="1">
      <alignment horizontal="right" vertical="center"/>
    </xf>
    <xf numFmtId="0" fontId="3" fillId="4" borderId="25" xfId="0" applyFont="1" applyFill="1" applyBorder="1" applyAlignment="1">
      <alignment horizontal="left" vertical="center" indent="4"/>
    </xf>
    <xf numFmtId="0" fontId="3" fillId="0" borderId="25" xfId="0" applyFont="1" applyBorder="1" applyAlignment="1">
      <alignment horizontal="left" indent="2"/>
    </xf>
    <xf numFmtId="0" fontId="3" fillId="4" borderId="67" xfId="0" applyFont="1" applyFill="1" applyBorder="1" applyAlignment="1">
      <alignment vertical="center"/>
    </xf>
    <xf numFmtId="0" fontId="3" fillId="4" borderId="29" xfId="0" applyFont="1" applyFill="1" applyBorder="1" applyAlignment="1">
      <alignment horizontal="left" indent="4"/>
    </xf>
    <xf numFmtId="0" fontId="4" fillId="4" borderId="26" xfId="0" applyFont="1" applyFill="1" applyBorder="1"/>
    <xf numFmtId="0" fontId="3" fillId="0" borderId="27" xfId="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left"/>
    </xf>
    <xf numFmtId="0" fontId="3" fillId="4" borderId="4" xfId="0" quotePrefix="1" applyFont="1" applyFill="1" applyBorder="1" applyAlignment="1">
      <alignment vertical="center"/>
    </xf>
    <xf numFmtId="0" fontId="4" fillId="6" borderId="20" xfId="0" applyFont="1" applyFill="1" applyBorder="1" applyAlignment="1">
      <alignment horizontal="center" vertical="center" wrapText="1"/>
    </xf>
    <xf numFmtId="0" fontId="4" fillId="6" borderId="36" xfId="0" applyFont="1" applyFill="1" applyBorder="1" applyAlignment="1">
      <alignment horizontal="center" vertical="center" wrapText="1"/>
    </xf>
    <xf numFmtId="0" fontId="4" fillId="6" borderId="38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left" vertical="center"/>
    </xf>
    <xf numFmtId="1" fontId="3" fillId="4" borderId="11" xfId="0" applyNumberFormat="1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164" fontId="7" fillId="7" borderId="50" xfId="0" applyNumberFormat="1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center"/>
    </xf>
    <xf numFmtId="164" fontId="3" fillId="4" borderId="51" xfId="0" applyNumberFormat="1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left" vertical="center"/>
    </xf>
    <xf numFmtId="1" fontId="3" fillId="4" borderId="35" xfId="0" applyNumberFormat="1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164" fontId="7" fillId="7" borderId="52" xfId="0" applyNumberFormat="1" applyFont="1" applyFill="1" applyBorder="1" applyAlignment="1">
      <alignment horizontal="center" vertical="center"/>
    </xf>
    <xf numFmtId="164" fontId="3" fillId="4" borderId="35" xfId="0" applyNumberFormat="1" applyFont="1" applyFill="1" applyBorder="1" applyAlignment="1">
      <alignment horizontal="center" vertical="center"/>
    </xf>
    <xf numFmtId="164" fontId="3" fillId="4" borderId="53" xfId="0" applyNumberFormat="1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left" vertical="center"/>
    </xf>
    <xf numFmtId="1" fontId="3" fillId="4" borderId="9" xfId="0" applyNumberFormat="1" applyFont="1" applyFill="1" applyBorder="1" applyAlignment="1">
      <alignment horizontal="center" vertical="center"/>
    </xf>
    <xf numFmtId="164" fontId="7" fillId="7" borderId="54" xfId="0" applyNumberFormat="1" applyFont="1" applyFill="1" applyBorder="1" applyAlignment="1">
      <alignment horizontal="center" vertical="center"/>
    </xf>
    <xf numFmtId="164" fontId="3" fillId="4" borderId="9" xfId="0" applyNumberFormat="1" applyFont="1" applyFill="1" applyBorder="1" applyAlignment="1">
      <alignment horizontal="center" vertical="center"/>
    </xf>
    <xf numFmtId="164" fontId="3" fillId="4" borderId="24" xfId="0" applyNumberFormat="1" applyFont="1" applyFill="1" applyBorder="1" applyAlignment="1">
      <alignment horizontal="center" vertical="center"/>
    </xf>
    <xf numFmtId="0" fontId="3" fillId="4" borderId="44" xfId="0" applyFont="1" applyFill="1" applyBorder="1" applyAlignment="1">
      <alignment horizontal="left" vertical="center"/>
    </xf>
    <xf numFmtId="1" fontId="3" fillId="4" borderId="45" xfId="0" applyNumberFormat="1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164" fontId="7" fillId="7" borderId="55" xfId="0" applyNumberFormat="1" applyFont="1" applyFill="1" applyBorder="1" applyAlignment="1">
      <alignment horizontal="center" vertical="center"/>
    </xf>
    <xf numFmtId="164" fontId="3" fillId="4" borderId="45" xfId="0" applyNumberFormat="1" applyFont="1" applyFill="1" applyBorder="1" applyAlignment="1">
      <alignment horizontal="center" vertical="center"/>
    </xf>
    <xf numFmtId="164" fontId="3" fillId="4" borderId="56" xfId="0" applyNumberFormat="1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 vertical="center"/>
    </xf>
    <xf numFmtId="164" fontId="7" fillId="7" borderId="11" xfId="0" applyNumberFormat="1" applyFont="1" applyFill="1" applyBorder="1" applyAlignment="1">
      <alignment horizontal="center" vertical="center"/>
    </xf>
    <xf numFmtId="0" fontId="3" fillId="4" borderId="57" xfId="0" applyFont="1" applyFill="1" applyBorder="1" applyAlignment="1">
      <alignment horizontal="center" vertical="center"/>
    </xf>
    <xf numFmtId="164" fontId="7" fillId="7" borderId="9" xfId="0" applyNumberFormat="1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left" vertical="center"/>
    </xf>
    <xf numFmtId="1" fontId="3" fillId="4" borderId="16" xfId="0" applyNumberFormat="1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164" fontId="7" fillId="7" borderId="16" xfId="0" applyNumberFormat="1" applyFont="1" applyFill="1" applyBorder="1" applyAlignment="1">
      <alignment horizontal="center" vertical="center"/>
    </xf>
    <xf numFmtId="164" fontId="3" fillId="4" borderId="34" xfId="0" applyNumberFormat="1" applyFont="1" applyFill="1" applyBorder="1" applyAlignment="1">
      <alignment horizontal="center" vertical="center"/>
    </xf>
    <xf numFmtId="164" fontId="3" fillId="4" borderId="43" xfId="0" applyNumberFormat="1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164" fontId="4" fillId="4" borderId="22" xfId="0" applyNumberFormat="1" applyFont="1" applyFill="1" applyBorder="1" applyAlignment="1">
      <alignment horizontal="center" vertical="center"/>
    </xf>
    <xf numFmtId="0" fontId="3" fillId="4" borderId="74" xfId="0" applyFont="1" applyFill="1" applyBorder="1" applyAlignment="1">
      <alignment vertical="center"/>
    </xf>
    <xf numFmtId="0" fontId="13" fillId="9" borderId="9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1" fillId="0" borderId="0" xfId="0" applyFont="1"/>
    <xf numFmtId="44" fontId="16" fillId="0" borderId="9" xfId="0" applyNumberFormat="1" applyFont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3" fillId="0" borderId="0" xfId="0" applyFont="1"/>
    <xf numFmtId="0" fontId="3" fillId="4" borderId="10" xfId="0" applyFont="1" applyFill="1" applyBorder="1" applyAlignment="1">
      <alignment vertical="center"/>
    </xf>
    <xf numFmtId="0" fontId="3" fillId="4" borderId="13" xfId="0" applyFont="1" applyFill="1" applyBorder="1" applyAlignment="1">
      <alignment vertical="center"/>
    </xf>
    <xf numFmtId="8" fontId="3" fillId="4" borderId="0" xfId="0" applyNumberFormat="1" applyFont="1" applyFill="1" applyAlignment="1">
      <alignment vertical="center"/>
    </xf>
    <xf numFmtId="2" fontId="3" fillId="4" borderId="0" xfId="1" applyNumberFormat="1" applyFont="1" applyFill="1" applyAlignment="1" applyProtection="1">
      <alignment horizontal="left" vertical="center"/>
    </xf>
    <xf numFmtId="0" fontId="3" fillId="0" borderId="13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vertical="center"/>
    </xf>
    <xf numFmtId="0" fontId="5" fillId="2" borderId="34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4" fillId="5" borderId="46" xfId="0" applyFont="1" applyFill="1" applyBorder="1" applyAlignment="1">
      <alignment horizontal="center" vertical="center"/>
    </xf>
    <xf numFmtId="0" fontId="6" fillId="0" borderId="47" xfId="0" applyFont="1" applyBorder="1" applyAlignment="1">
      <alignment vertical="center"/>
    </xf>
    <xf numFmtId="0" fontId="3" fillId="0" borderId="64" xfId="0" applyFont="1" applyBorder="1" applyAlignment="1">
      <alignment horizontal="center" vertical="center"/>
    </xf>
    <xf numFmtId="8" fontId="3" fillId="4" borderId="0" xfId="0" applyNumberFormat="1" applyFont="1" applyFill="1" applyAlignment="1">
      <alignment horizontal="left" vertical="center"/>
    </xf>
    <xf numFmtId="0" fontId="6" fillId="0" borderId="42" xfId="0" applyFont="1" applyBorder="1" applyAlignment="1">
      <alignment vertical="center"/>
    </xf>
    <xf numFmtId="0" fontId="3" fillId="0" borderId="67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6" fillId="0" borderId="48" xfId="0" applyFont="1" applyBorder="1" applyAlignment="1">
      <alignment vertical="center"/>
    </xf>
    <xf numFmtId="0" fontId="3" fillId="0" borderId="41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10" fontId="3" fillId="0" borderId="22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3" fillId="0" borderId="28" xfId="0" applyFont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0" fontId="3" fillId="4" borderId="28" xfId="0" applyFont="1" applyFill="1" applyBorder="1" applyAlignment="1">
      <alignment vertical="center"/>
    </xf>
    <xf numFmtId="0" fontId="3" fillId="4" borderId="72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4" borderId="26" xfId="0" applyFont="1" applyFill="1" applyBorder="1" applyAlignment="1">
      <alignment vertical="center"/>
    </xf>
    <xf numFmtId="167" fontId="6" fillId="4" borderId="9" xfId="1" applyNumberFormat="1" applyFont="1" applyFill="1" applyBorder="1" applyAlignment="1">
      <alignment horizontal="center" vertical="center"/>
    </xf>
    <xf numFmtId="10" fontId="6" fillId="0" borderId="12" xfId="1" applyNumberFormat="1" applyFont="1" applyFill="1" applyBorder="1" applyAlignment="1" applyProtection="1">
      <alignment horizontal="center" vertical="center"/>
    </xf>
    <xf numFmtId="10" fontId="6" fillId="0" borderId="17" xfId="1" applyNumberFormat="1" applyFont="1" applyFill="1" applyBorder="1" applyAlignment="1" applyProtection="1">
      <alignment horizontal="center" vertical="center"/>
    </xf>
    <xf numFmtId="0" fontId="6" fillId="0" borderId="18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8" fontId="3" fillId="3" borderId="16" xfId="2" applyNumberFormat="1" applyFont="1" applyFill="1" applyBorder="1" applyAlignment="1" applyProtection="1">
      <alignment horizontal="center" vertical="center"/>
    </xf>
    <xf numFmtId="8" fontId="3" fillId="3" borderId="17" xfId="2" applyNumberFormat="1" applyFont="1" applyFill="1" applyBorder="1" applyAlignment="1" applyProtection="1">
      <alignment horizontal="center" vertical="center"/>
    </xf>
    <xf numFmtId="2" fontId="4" fillId="3" borderId="39" xfId="1" applyNumberFormat="1" applyFont="1" applyFill="1" applyBorder="1" applyAlignment="1" applyProtection="1">
      <alignment horizontal="center" vertical="center"/>
      <protection locked="0"/>
    </xf>
    <xf numFmtId="2" fontId="4" fillId="3" borderId="40" xfId="1" applyNumberFormat="1" applyFont="1" applyFill="1" applyBorder="1" applyAlignment="1" applyProtection="1">
      <alignment horizontal="center" vertical="center"/>
      <protection locked="0"/>
    </xf>
    <xf numFmtId="2" fontId="4" fillId="3" borderId="24" xfId="1" applyNumberFormat="1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8" fontId="3" fillId="3" borderId="39" xfId="2" applyNumberFormat="1" applyFont="1" applyFill="1" applyBorder="1" applyAlignment="1" applyProtection="1">
      <alignment horizontal="center" vertical="center"/>
    </xf>
    <xf numFmtId="8" fontId="3" fillId="3" borderId="40" xfId="2" applyNumberFormat="1" applyFont="1" applyFill="1" applyBorder="1" applyAlignment="1" applyProtection="1">
      <alignment horizontal="center" vertical="center"/>
    </xf>
    <xf numFmtId="8" fontId="3" fillId="3" borderId="24" xfId="2" applyNumberFormat="1" applyFont="1" applyFill="1" applyBorder="1" applyAlignment="1" applyProtection="1">
      <alignment horizontal="center" vertical="center"/>
    </xf>
    <xf numFmtId="0" fontId="3" fillId="0" borderId="73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4" fillId="3" borderId="47" xfId="0" applyFont="1" applyFill="1" applyBorder="1" applyAlignment="1">
      <alignment horizontal="center" vertical="center"/>
    </xf>
    <xf numFmtId="0" fontId="4" fillId="3" borderId="62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10" fontId="6" fillId="0" borderId="19" xfId="1" applyNumberFormat="1" applyFont="1" applyFill="1" applyBorder="1" applyAlignment="1" applyProtection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10" fontId="3" fillId="3" borderId="48" xfId="0" applyNumberFormat="1" applyFont="1" applyFill="1" applyBorder="1" applyAlignment="1">
      <alignment horizontal="center" vertical="center"/>
    </xf>
    <xf numFmtId="10" fontId="3" fillId="3" borderId="38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4" fillId="6" borderId="8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4" fillId="4" borderId="46" xfId="0" applyFont="1" applyFill="1" applyBorder="1" applyAlignment="1">
      <alignment horizontal="center" vertical="center" textRotation="90"/>
    </xf>
    <xf numFmtId="0" fontId="4" fillId="4" borderId="41" xfId="0" applyFont="1" applyFill="1" applyBorder="1" applyAlignment="1">
      <alignment horizontal="center" vertical="center" textRotation="90"/>
    </xf>
    <xf numFmtId="0" fontId="4" fillId="4" borderId="32" xfId="0" applyFont="1" applyFill="1" applyBorder="1" applyAlignment="1">
      <alignment horizontal="center" vertical="center" textRotation="90"/>
    </xf>
    <xf numFmtId="0" fontId="17" fillId="9" borderId="9" xfId="0" applyFont="1" applyFill="1" applyBorder="1" applyAlignment="1">
      <alignment horizontal="right" vertical="center"/>
    </xf>
    <xf numFmtId="44" fontId="17" fillId="9" borderId="9" xfId="0" applyNumberFormat="1" applyFont="1" applyFill="1" applyBorder="1" applyAlignment="1">
      <alignment horizontal="center"/>
    </xf>
    <xf numFmtId="0" fontId="17" fillId="9" borderId="9" xfId="0" applyFont="1" applyFill="1" applyBorder="1" applyAlignment="1">
      <alignment horizontal="center"/>
    </xf>
    <xf numFmtId="0" fontId="18" fillId="9" borderId="9" xfId="0" applyFont="1" applyFill="1" applyBorder="1" applyAlignment="1">
      <alignment horizontal="right" vertical="center"/>
    </xf>
    <xf numFmtId="44" fontId="18" fillId="9" borderId="39" xfId="0" applyNumberFormat="1" applyFont="1" applyFill="1" applyBorder="1" applyAlignment="1">
      <alignment horizontal="center"/>
    </xf>
    <xf numFmtId="0" fontId="18" fillId="9" borderId="54" xfId="0" applyFont="1" applyFill="1" applyBorder="1" applyAlignment="1">
      <alignment horizontal="center"/>
    </xf>
    <xf numFmtId="0" fontId="13" fillId="11" borderId="39" xfId="0" applyFont="1" applyFill="1" applyBorder="1" applyAlignment="1">
      <alignment horizontal="center" vertical="center"/>
    </xf>
    <xf numFmtId="0" fontId="13" fillId="11" borderId="40" xfId="0" applyFont="1" applyFill="1" applyBorder="1" applyAlignment="1">
      <alignment horizontal="center" vertical="center"/>
    </xf>
    <xf numFmtId="0" fontId="13" fillId="11" borderId="54" xfId="0" applyFont="1" applyFill="1" applyBorder="1" applyAlignment="1">
      <alignment horizontal="center" vertical="center"/>
    </xf>
    <xf numFmtId="0" fontId="13" fillId="9" borderId="39" xfId="0" applyFont="1" applyFill="1" applyBorder="1" applyAlignment="1">
      <alignment horizontal="center" vertical="center" wrapText="1"/>
    </xf>
    <xf numFmtId="0" fontId="13" fillId="9" borderId="40" xfId="0" applyFont="1" applyFill="1" applyBorder="1" applyAlignment="1">
      <alignment horizontal="center" vertical="center" wrapText="1"/>
    </xf>
    <xf numFmtId="0" fontId="13" fillId="9" borderId="54" xfId="0" applyFont="1" applyFill="1" applyBorder="1" applyAlignment="1">
      <alignment horizontal="center" vertical="center" wrapText="1"/>
    </xf>
    <xf numFmtId="44" fontId="16" fillId="4" borderId="39" xfId="3" applyFont="1" applyFill="1" applyBorder="1" applyAlignment="1" applyProtection="1">
      <alignment horizontal="center" vertical="center"/>
    </xf>
    <xf numFmtId="44" fontId="16" fillId="4" borderId="40" xfId="3" applyFont="1" applyFill="1" applyBorder="1" applyAlignment="1" applyProtection="1">
      <alignment horizontal="center" vertical="center"/>
    </xf>
    <xf numFmtId="44" fontId="16" fillId="4" borderId="54" xfId="3" applyFont="1" applyFill="1" applyBorder="1" applyAlignment="1" applyProtection="1">
      <alignment horizontal="center" vertical="center"/>
    </xf>
    <xf numFmtId="44" fontId="16" fillId="0" borderId="39" xfId="3" applyFont="1" applyBorder="1" applyAlignment="1" applyProtection="1">
      <alignment horizontal="center" vertical="center"/>
    </xf>
    <xf numFmtId="44" fontId="16" fillId="0" borderId="54" xfId="3" applyFont="1" applyBorder="1" applyAlignment="1" applyProtection="1">
      <alignment horizontal="center" vertical="center"/>
    </xf>
    <xf numFmtId="44" fontId="16" fillId="10" borderId="39" xfId="3" applyFont="1" applyFill="1" applyBorder="1" applyAlignment="1" applyProtection="1">
      <alignment horizontal="center" vertical="center"/>
      <protection locked="0"/>
    </xf>
    <xf numFmtId="44" fontId="16" fillId="10" borderId="40" xfId="3" applyFont="1" applyFill="1" applyBorder="1" applyAlignment="1" applyProtection="1">
      <alignment horizontal="center" vertical="center"/>
      <protection locked="0"/>
    </xf>
    <xf numFmtId="44" fontId="16" fillId="10" borderId="54" xfId="3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16" fillId="0" borderId="39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2" fillId="4" borderId="34" xfId="0" applyFont="1" applyFill="1" applyBorder="1" applyAlignment="1">
      <alignment horizontal="center"/>
    </xf>
    <xf numFmtId="0" fontId="2" fillId="4" borderId="69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4" fontId="3" fillId="11" borderId="42" xfId="3" applyFont="1" applyFill="1" applyBorder="1" applyAlignment="1">
      <alignment horizontal="center" vertical="center"/>
    </xf>
    <xf numFmtId="44" fontId="3" fillId="11" borderId="68" xfId="3" applyFont="1" applyFill="1" applyBorder="1" applyAlignment="1">
      <alignment horizontal="center" vertical="center"/>
    </xf>
    <xf numFmtId="44" fontId="3" fillId="11" borderId="43" xfId="3" applyFont="1" applyFill="1" applyBorder="1" applyAlignment="1">
      <alignment horizontal="center" vertical="center"/>
    </xf>
    <xf numFmtId="44" fontId="3" fillId="11" borderId="39" xfId="3" applyFont="1" applyFill="1" applyBorder="1" applyAlignment="1">
      <alignment horizontal="center" vertical="center"/>
    </xf>
    <xf numFmtId="44" fontId="3" fillId="11" borderId="40" xfId="3" applyFont="1" applyFill="1" applyBorder="1" applyAlignment="1">
      <alignment horizontal="center" vertical="center"/>
    </xf>
    <xf numFmtId="44" fontId="3" fillId="11" borderId="54" xfId="3" applyFont="1" applyFill="1" applyBorder="1" applyAlignment="1">
      <alignment horizontal="center" vertical="center"/>
    </xf>
    <xf numFmtId="44" fontId="3" fillId="11" borderId="24" xfId="3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 wrapText="1"/>
    </xf>
    <xf numFmtId="0" fontId="4" fillId="2" borderId="6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 wrapText="1"/>
    </xf>
    <xf numFmtId="0" fontId="4" fillId="8" borderId="50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4" fontId="4" fillId="4" borderId="8" xfId="3" applyFont="1" applyFill="1" applyBorder="1" applyAlignment="1">
      <alignment horizontal="center" vertical="center"/>
    </xf>
    <xf numFmtId="44" fontId="4" fillId="4" borderId="5" xfId="3" applyFont="1" applyFill="1" applyBorder="1" applyAlignment="1">
      <alignment horizontal="center" vertical="center"/>
    </xf>
  </cellXfs>
  <cellStyles count="4">
    <cellStyle name="Moeda" xfId="3" builtinId="4"/>
    <cellStyle name="Normal" xfId="0" builtinId="0"/>
    <cellStyle name="Porcentagem" xfId="1" builtinId="5"/>
    <cellStyle name="Vírgula" xfId="2" builtinId="3"/>
  </cellStyles>
  <dxfs count="2">
    <dxf>
      <font>
        <color theme="0" tint="-0.499984740745262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D9D9D9"/>
      <color rgb="FF9BC2E6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19048</xdr:colOff>
      <xdr:row>37</xdr:row>
      <xdr:rowOff>119062</xdr:rowOff>
    </xdr:from>
    <xdr:ext cx="3467101" cy="4048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9D84197-48F1-40D0-938C-FFAA6389124E}"/>
                </a:ext>
              </a:extLst>
            </xdr:cNvPr>
            <xdr:cNvSpPr txBox="1"/>
          </xdr:nvSpPr>
          <xdr:spPr>
            <a:xfrm>
              <a:off x="163828" y="9186862"/>
              <a:ext cx="3467101" cy="4048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b="0" i="1">
                        <a:latin typeface="Cambria Math" panose="02040503050406030204" pitchFamily="18" charset="0"/>
                      </a:rPr>
                      <m:t>𝐵𝐷𝐼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BR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1+</m:t>
                            </m:r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𝑑𝑒𝑠𝑝𝑒𝑠𝑎𝑠</m:t>
                            </m:r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𝑖𝑛𝑑𝑖𝑟𝑒𝑡𝑎𝑠</m:t>
                            </m:r>
                          </m:e>
                        </m:d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.(1+</m:t>
                        </m:r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𝑙𝑢𝑐𝑟𝑜</m:t>
                        </m:r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𝑏𝑟𝑢𝑡𝑜</m:t>
                        </m:r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num>
                      <m:den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1−%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𝑃𝐼𝑆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−%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𝐶𝑂𝐹𝐼𝑁𝑆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−%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𝐼𝑆𝑆</m:t>
                        </m:r>
                      </m:den>
                    </m:f>
                    <m:r>
                      <a:rPr lang="pt-BR" sz="1100" b="0" i="1">
                        <a:latin typeface="Cambria Math" panose="02040503050406030204" pitchFamily="18" charset="0"/>
                      </a:rPr>
                      <m:t>−1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9D84197-48F1-40D0-938C-FFAA6389124E}"/>
                </a:ext>
              </a:extLst>
            </xdr:cNvPr>
            <xdr:cNvSpPr txBox="1"/>
          </xdr:nvSpPr>
          <xdr:spPr>
            <a:xfrm>
              <a:off x="163828" y="9186862"/>
              <a:ext cx="3467101" cy="4048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pt-BR" sz="1100" b="0" i="0">
                  <a:latin typeface="Cambria Math" panose="02040503050406030204" pitchFamily="18" charset="0"/>
                </a:rPr>
                <a:t>𝐵𝐷𝐼=(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(1+𝑑𝑒𝑠𝑝𝑒𝑠𝑎𝑠 𝑖𝑛𝑑𝑖𝑟𝑒𝑡𝑎𝑠)  .(1+𝑙𝑢𝑐𝑟𝑜 𝑏𝑟𝑢𝑡𝑜))/(</a:t>
              </a:r>
              <a:r>
                <a:rPr lang="pt-BR" sz="1100" b="0" i="0">
                  <a:latin typeface="Cambria Math" panose="02040503050406030204" pitchFamily="18" charset="0"/>
                </a:rPr>
                <a:t>1−%𝑃𝐼𝑆−%𝐶𝑂𝐹𝐼𝑁𝑆−%𝐼𝑆𝑆)−1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</xdr:col>
      <xdr:colOff>19048</xdr:colOff>
      <xdr:row>37</xdr:row>
      <xdr:rowOff>119062</xdr:rowOff>
    </xdr:from>
    <xdr:ext cx="3467101" cy="4048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1">
              <a:extLst>
                <a:ext uri="{FF2B5EF4-FFF2-40B4-BE49-F238E27FC236}">
                  <a16:creationId xmlns:a16="http://schemas.microsoft.com/office/drawing/2014/main" id="{202AB1DF-6121-45FF-94A2-5FF0A77384C6}"/>
                </a:ext>
              </a:extLst>
            </xdr:cNvPr>
            <xdr:cNvSpPr txBox="1"/>
          </xdr:nvSpPr>
          <xdr:spPr>
            <a:xfrm>
              <a:off x="163828" y="9186862"/>
              <a:ext cx="3467101" cy="4048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b="0" i="1">
                        <a:latin typeface="Cambria Math" panose="02040503050406030204" pitchFamily="18" charset="0"/>
                      </a:rPr>
                      <m:t>𝐵𝐷𝐼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BR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1+</m:t>
                            </m:r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𝑑𝑒𝑠𝑝𝑒𝑠𝑎𝑠</m:t>
                            </m:r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𝑖𝑛𝑑𝑖𝑟𝑒𝑡𝑎𝑠</m:t>
                            </m:r>
                          </m:e>
                        </m:d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.(1+</m:t>
                        </m:r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𝑙𝑢𝑐𝑟𝑜</m:t>
                        </m:r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𝑏𝑟𝑢𝑡𝑜</m:t>
                        </m:r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num>
                      <m:den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1−%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𝑃𝐼𝑆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−%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𝐶𝑂𝐹𝐼𝑁𝑆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−%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𝐼𝑆𝑆</m:t>
                        </m:r>
                      </m:den>
                    </m:f>
                    <m:r>
                      <a:rPr lang="pt-BR" sz="1100" b="0" i="1">
                        <a:latin typeface="Cambria Math" panose="02040503050406030204" pitchFamily="18" charset="0"/>
                      </a:rPr>
                      <m:t>−1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1">
              <a:extLst>
                <a:ext uri="{FF2B5EF4-FFF2-40B4-BE49-F238E27FC236}">
                  <a16:creationId xmlns:a16="http://schemas.microsoft.com/office/drawing/2014/main" id="{202AB1DF-6121-45FF-94A2-5FF0A77384C6}"/>
                </a:ext>
              </a:extLst>
            </xdr:cNvPr>
            <xdr:cNvSpPr txBox="1"/>
          </xdr:nvSpPr>
          <xdr:spPr>
            <a:xfrm>
              <a:off x="163828" y="9186862"/>
              <a:ext cx="3467101" cy="4048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pt-BR" sz="1100" b="0" i="0">
                  <a:latin typeface="Cambria Math" panose="02040503050406030204" pitchFamily="18" charset="0"/>
                </a:rPr>
                <a:t>𝐵𝐷𝐼=(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(1+𝑑𝑒𝑠𝑝𝑒𝑠𝑎𝑠 𝑖𝑛𝑑𝑖𝑟𝑒𝑡𝑎𝑠)  .(1+𝑙𝑢𝑐𝑟𝑜 𝑏𝑟𝑢𝑡𝑜))/(</a:t>
              </a:r>
              <a:r>
                <a:rPr lang="pt-BR" sz="1100" b="0" i="0">
                  <a:latin typeface="Cambria Math" panose="02040503050406030204" pitchFamily="18" charset="0"/>
                </a:rPr>
                <a:t>1−%𝑃𝐼𝑆−%𝐶𝑂𝐹𝐼𝑁𝑆−%𝐼𝑆𝑆)−1</a:t>
              </a:r>
              <a:endParaRPr lang="en-US" sz="110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cespgov-my.sharepoint.com/Users/marce/Desktop/2.%20Levantamento%20de%20&#225;reas_v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. de cálc. brises e ACM"/>
      <sheetName val="Inputs - Prod. e Valores"/>
      <sheetName val="Resultados"/>
      <sheetName val="Pisos"/>
      <sheetName val="Pisos - Consolidado c. Serv."/>
      <sheetName val="Vidros"/>
      <sheetName val="Levantamento vidros-Suzana"/>
      <sheetName val="Brises"/>
      <sheetName val="ACM"/>
      <sheetName val="Postos - TR"/>
      <sheetName val="Elem. de fachada + Jard. - TR"/>
      <sheetName val="Áreas Int. e Ext. - Consolidado"/>
      <sheetName val="Elem. de fachada - Consolidado"/>
      <sheetName val="Jardins - Consolidado"/>
      <sheetName val="Planilha de Preços"/>
      <sheetName val="Dados URs"/>
      <sheetName val="Anexo X - Old"/>
      <sheetName val="Anexo A"/>
      <sheetName val="Editais anteriores"/>
      <sheetName val="Comparação"/>
      <sheetName val="Unif. e EPIs - AL e LV - TR"/>
      <sheetName val="Unif. e EPIs - AL. AC. - TR"/>
      <sheetName val="Unif. e EPIs - Jard. - TR"/>
      <sheetName val="Unif. e EPIs - AL e LV"/>
      <sheetName val="Unif. e EPIs - AL. AC."/>
      <sheetName val="Produtividade"/>
      <sheetName val="Valor unitário mensal"/>
      <sheetName val="Funcionários e custos"/>
      <sheetName val="Verificação TJSP"/>
      <sheetName val="UR-1 Pisos - Antigo"/>
      <sheetName val="Planilhas editais anteriores"/>
      <sheetName val="Mem. Calc. Custo Vidros Trim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5">
          <cell r="I15" t="str">
            <v>Foto_UR_2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P63"/>
  <sheetViews>
    <sheetView zoomScaleNormal="100" workbookViewId="0">
      <selection activeCell="B2" sqref="B2:F2"/>
    </sheetView>
  </sheetViews>
  <sheetFormatPr defaultColWidth="9.125" defaultRowHeight="14.95" customHeight="1" x14ac:dyDescent="0.25"/>
  <cols>
    <col min="1" max="1" width="2.125" style="201" customWidth="1"/>
    <col min="2" max="2" width="48.5" style="201" bestFit="1" customWidth="1"/>
    <col min="3" max="3" width="19" style="201" bestFit="1" customWidth="1"/>
    <col min="4" max="5" width="16.5" style="201" customWidth="1"/>
    <col min="6" max="7" width="22.5" style="201" customWidth="1"/>
    <col min="8" max="8" width="5.5" style="201" customWidth="1"/>
    <col min="9" max="9" width="19.5" style="201" customWidth="1"/>
    <col min="10" max="10" width="23.125" style="17" customWidth="1"/>
    <col min="11" max="11" width="13.5" style="201" bestFit="1" customWidth="1"/>
    <col min="12" max="12" width="9.875" style="201" bestFit="1" customWidth="1"/>
    <col min="13" max="13" width="10.5" style="201" bestFit="1" customWidth="1"/>
    <col min="14" max="14" width="7.5" style="201" bestFit="1" customWidth="1"/>
    <col min="15" max="16384" width="9.125" style="201"/>
  </cols>
  <sheetData>
    <row r="1" spans="2:16" ht="14.95" customHeight="1" thickBot="1" x14ac:dyDescent="0.3">
      <c r="B1" s="200"/>
      <c r="C1" s="200"/>
    </row>
    <row r="2" spans="2:16" ht="18" customHeight="1" thickBot="1" x14ac:dyDescent="0.3">
      <c r="B2" s="243" t="s">
        <v>0</v>
      </c>
      <c r="C2" s="244"/>
      <c r="D2" s="244"/>
      <c r="E2" s="244"/>
      <c r="F2" s="245"/>
    </row>
    <row r="3" spans="2:16" ht="39.1" customHeight="1" thickBot="1" x14ac:dyDescent="0.3">
      <c r="B3" s="246" t="s">
        <v>1</v>
      </c>
      <c r="C3" s="247"/>
      <c r="D3" s="247"/>
      <c r="E3" s="247"/>
      <c r="F3" s="248"/>
    </row>
    <row r="4" spans="2:16" ht="18" customHeight="1" thickBot="1" x14ac:dyDescent="0.3">
      <c r="B4" s="202"/>
      <c r="H4" s="17"/>
    </row>
    <row r="5" spans="2:16" ht="18" customHeight="1" thickBot="1" x14ac:dyDescent="0.3">
      <c r="B5" s="243" t="s">
        <v>2</v>
      </c>
      <c r="C5" s="244"/>
      <c r="D5" s="244"/>
      <c r="E5" s="244"/>
      <c r="F5" s="245"/>
    </row>
    <row r="6" spans="2:16" ht="18" customHeight="1" x14ac:dyDescent="0.25">
      <c r="B6" s="203" t="s">
        <v>3</v>
      </c>
      <c r="C6" s="264"/>
      <c r="D6" s="265"/>
      <c r="E6" s="265"/>
      <c r="F6" s="266"/>
    </row>
    <row r="7" spans="2:16" ht="14.95" customHeight="1" x14ac:dyDescent="0.25">
      <c r="B7" s="204" t="s">
        <v>4</v>
      </c>
      <c r="C7" s="254"/>
      <c r="D7" s="254"/>
      <c r="E7" s="254"/>
      <c r="F7" s="255"/>
      <c r="P7" s="205"/>
    </row>
    <row r="8" spans="2:16" ht="14.95" customHeight="1" x14ac:dyDescent="0.25">
      <c r="B8" s="204" t="s">
        <v>5</v>
      </c>
      <c r="C8" s="254"/>
      <c r="D8" s="254"/>
      <c r="E8" s="254"/>
      <c r="F8" s="255"/>
      <c r="P8" s="205"/>
    </row>
    <row r="9" spans="2:16" ht="14.95" customHeight="1" x14ac:dyDescent="0.25">
      <c r="B9" s="204" t="s">
        <v>6</v>
      </c>
      <c r="C9" s="254"/>
      <c r="D9" s="254"/>
      <c r="E9" s="254"/>
      <c r="F9" s="255"/>
      <c r="P9" s="205"/>
    </row>
    <row r="10" spans="2:16" ht="14.95" customHeight="1" x14ac:dyDescent="0.25">
      <c r="B10" s="204" t="s">
        <v>7</v>
      </c>
      <c r="C10" s="254"/>
      <c r="D10" s="254"/>
      <c r="E10" s="254"/>
      <c r="F10" s="255"/>
    </row>
    <row r="11" spans="2:16" ht="14.95" customHeight="1" x14ac:dyDescent="0.25">
      <c r="B11" s="204" t="s">
        <v>8</v>
      </c>
      <c r="C11" s="254"/>
      <c r="D11" s="254"/>
      <c r="E11" s="254"/>
      <c r="F11" s="255"/>
      <c r="J11" s="206"/>
    </row>
    <row r="12" spans="2:16" ht="14.95" customHeight="1" x14ac:dyDescent="0.25">
      <c r="B12" s="204" t="s">
        <v>9</v>
      </c>
      <c r="C12" s="251">
        <v>3</v>
      </c>
      <c r="D12" s="252"/>
      <c r="E12" s="252"/>
      <c r="F12" s="253"/>
      <c r="J12" s="206"/>
    </row>
    <row r="13" spans="2:16" ht="14.95" customHeight="1" x14ac:dyDescent="0.25">
      <c r="B13" s="6" t="s">
        <v>10</v>
      </c>
      <c r="C13" s="251">
        <v>1</v>
      </c>
      <c r="D13" s="252"/>
      <c r="E13" s="252"/>
      <c r="F13" s="253"/>
      <c r="J13" s="206"/>
    </row>
    <row r="14" spans="2:16" ht="14.95" customHeight="1" x14ac:dyDescent="0.25">
      <c r="B14" s="6" t="s">
        <v>11</v>
      </c>
      <c r="C14" s="254" t="s">
        <v>184</v>
      </c>
      <c r="D14" s="254"/>
      <c r="E14" s="254"/>
      <c r="F14" s="255"/>
    </row>
    <row r="15" spans="2:16" ht="14.95" customHeight="1" x14ac:dyDescent="0.25">
      <c r="B15" s="6" t="s">
        <v>12</v>
      </c>
      <c r="C15" s="254" t="s">
        <v>185</v>
      </c>
      <c r="D15" s="254"/>
      <c r="E15" s="254"/>
      <c r="F15" s="255"/>
    </row>
    <row r="16" spans="2:16" ht="14.95" customHeight="1" x14ac:dyDescent="0.25">
      <c r="B16" s="204" t="s">
        <v>13</v>
      </c>
      <c r="C16" s="256" t="s">
        <v>219</v>
      </c>
      <c r="D16" s="256"/>
      <c r="E16" s="256"/>
      <c r="F16" s="257"/>
    </row>
    <row r="17" spans="2:16" ht="14.95" customHeight="1" x14ac:dyDescent="0.25">
      <c r="B17" s="207" t="s">
        <v>14</v>
      </c>
      <c r="C17" s="258"/>
      <c r="D17" s="259"/>
      <c r="E17" s="259"/>
      <c r="F17" s="260"/>
    </row>
    <row r="18" spans="2:16" ht="14.95" customHeight="1" x14ac:dyDescent="0.25">
      <c r="B18" s="208" t="s">
        <v>15</v>
      </c>
      <c r="C18" s="254"/>
      <c r="D18" s="254"/>
      <c r="E18" s="254"/>
      <c r="F18" s="255"/>
    </row>
    <row r="19" spans="2:16" ht="14.95" customHeight="1" thickBot="1" x14ac:dyDescent="0.3">
      <c r="B19" s="209" t="s">
        <v>16</v>
      </c>
      <c r="C19" s="249" t="s">
        <v>220</v>
      </c>
      <c r="D19" s="249"/>
      <c r="E19" s="249"/>
      <c r="F19" s="250"/>
    </row>
    <row r="20" spans="2:16" ht="14.95" customHeight="1" thickBot="1" x14ac:dyDescent="0.3"/>
    <row r="21" spans="2:16" ht="14.95" customHeight="1" thickBot="1" x14ac:dyDescent="0.3">
      <c r="B21" s="273" t="s">
        <v>17</v>
      </c>
      <c r="C21" s="274"/>
      <c r="D21" s="274"/>
      <c r="E21" s="274"/>
      <c r="F21" s="275"/>
    </row>
    <row r="22" spans="2:16" ht="14.95" customHeight="1" thickBot="1" x14ac:dyDescent="0.3">
      <c r="B22" s="210" t="s">
        <v>18</v>
      </c>
      <c r="C22" s="211" t="s">
        <v>19</v>
      </c>
      <c r="D22" s="212" t="s">
        <v>20</v>
      </c>
      <c r="E22" s="213" t="s">
        <v>21</v>
      </c>
      <c r="F22" s="214" t="s">
        <v>22</v>
      </c>
    </row>
    <row r="23" spans="2:16" ht="30.1" customHeight="1" x14ac:dyDescent="0.25">
      <c r="B23" s="280" t="s">
        <v>23</v>
      </c>
      <c r="C23" s="215" t="s">
        <v>24</v>
      </c>
      <c r="D23" s="27">
        <v>5.3100000000000001E-2</v>
      </c>
      <c r="E23" s="236">
        <f>SUM(D23:D24)</f>
        <v>5.8099999999999999E-2</v>
      </c>
      <c r="F23" s="216" t="s">
        <v>186</v>
      </c>
      <c r="J23" s="217"/>
    </row>
    <row r="24" spans="2:16" ht="30.1" customHeight="1" thickBot="1" x14ac:dyDescent="0.3">
      <c r="B24" s="239"/>
      <c r="C24" s="218" t="s">
        <v>26</v>
      </c>
      <c r="D24" s="28">
        <v>5.0000000000000001E-3</v>
      </c>
      <c r="E24" s="237"/>
      <c r="F24" s="219" t="s">
        <v>186</v>
      </c>
    </row>
    <row r="25" spans="2:16" ht="30.1" customHeight="1" thickBot="1" x14ac:dyDescent="0.3">
      <c r="B25" s="220" t="s">
        <v>27</v>
      </c>
      <c r="C25" s="221" t="s">
        <v>28</v>
      </c>
      <c r="D25" s="29">
        <v>7.1999999999999995E-2</v>
      </c>
      <c r="E25" s="10">
        <f>D25</f>
        <v>7.1999999999999995E-2</v>
      </c>
      <c r="F25" s="222" t="s">
        <v>186</v>
      </c>
      <c r="I25" s="2"/>
      <c r="J25" s="2"/>
      <c r="K25" s="2"/>
    </row>
    <row r="26" spans="2:16" ht="30.1" customHeight="1" x14ac:dyDescent="0.25">
      <c r="B26" s="238" t="s">
        <v>29</v>
      </c>
      <c r="C26" s="215" t="s">
        <v>30</v>
      </c>
      <c r="D26" s="30">
        <v>1.6500000000000001E-2</v>
      </c>
      <c r="E26" s="270">
        <f>SUM(D26:D27)</f>
        <v>9.2499999999999999E-2</v>
      </c>
      <c r="F26" s="271" t="s">
        <v>187</v>
      </c>
      <c r="I26" s="2"/>
      <c r="J26" s="2"/>
      <c r="K26" s="2"/>
    </row>
    <row r="27" spans="2:16" ht="47.4" customHeight="1" thickBot="1" x14ac:dyDescent="0.3">
      <c r="B27" s="239"/>
      <c r="C27" s="218" t="s">
        <v>31</v>
      </c>
      <c r="D27" s="28">
        <v>7.5999999999999998E-2</v>
      </c>
      <c r="E27" s="237"/>
      <c r="F27" s="272"/>
      <c r="I27" s="2"/>
      <c r="J27" s="2"/>
      <c r="K27" s="2"/>
    </row>
    <row r="28" spans="2:16" ht="14.95" customHeight="1" thickBot="1" x14ac:dyDescent="0.3">
      <c r="I28" s="2"/>
      <c r="J28" s="2"/>
      <c r="K28" s="2"/>
      <c r="M28" s="205"/>
      <c r="P28" s="205"/>
    </row>
    <row r="29" spans="2:16" ht="14.95" customHeight="1" thickBot="1" x14ac:dyDescent="0.3">
      <c r="B29" s="240" t="s">
        <v>32</v>
      </c>
      <c r="C29" s="241"/>
      <c r="D29" s="241"/>
      <c r="E29" s="241"/>
      <c r="F29" s="242"/>
      <c r="I29" s="2"/>
      <c r="J29" s="2"/>
      <c r="K29" s="2"/>
      <c r="M29" s="205"/>
      <c r="P29" s="205"/>
    </row>
    <row r="30" spans="2:16" ht="14.95" customHeight="1" thickBot="1" x14ac:dyDescent="0.3">
      <c r="B30" s="223" t="s">
        <v>33</v>
      </c>
      <c r="C30" s="224" t="s">
        <v>34</v>
      </c>
      <c r="D30" s="276" t="s">
        <v>35</v>
      </c>
      <c r="E30" s="277"/>
      <c r="F30" s="225" t="s">
        <v>36</v>
      </c>
      <c r="I30" s="2"/>
      <c r="J30" s="2"/>
      <c r="K30" s="2"/>
      <c r="P30" s="205"/>
    </row>
    <row r="31" spans="2:16" ht="14.95" customHeight="1" thickBot="1" x14ac:dyDescent="0.3">
      <c r="B31" s="226" t="s">
        <v>37</v>
      </c>
      <c r="C31" s="57">
        <v>5.7</v>
      </c>
      <c r="D31" s="278">
        <v>0.02</v>
      </c>
      <c r="E31" s="279"/>
      <c r="F31" s="227">
        <f>(1+$E$23)*(1+$E$25)/(1-($D$26+$D$27+D31))-1</f>
        <v>0.27810000000000001</v>
      </c>
      <c r="I31" s="2"/>
      <c r="J31" s="2"/>
      <c r="K31" s="2"/>
      <c r="P31" s="205"/>
    </row>
    <row r="32" spans="2:16" ht="13.6" x14ac:dyDescent="0.25">
      <c r="B32" s="267" t="s">
        <v>188</v>
      </c>
      <c r="C32" s="268"/>
      <c r="D32" s="268"/>
      <c r="E32" s="268"/>
      <c r="F32" s="269"/>
      <c r="J32" s="201"/>
    </row>
    <row r="33" spans="2:10" ht="40.25" customHeight="1" x14ac:dyDescent="0.25">
      <c r="B33" s="261" t="s">
        <v>189</v>
      </c>
      <c r="C33" s="262"/>
      <c r="D33" s="262"/>
      <c r="E33" s="262"/>
      <c r="F33" s="263"/>
      <c r="J33" s="201"/>
    </row>
    <row r="34" spans="2:10" ht="46.4" customHeight="1" x14ac:dyDescent="0.25">
      <c r="B34" s="261" t="s">
        <v>190</v>
      </c>
      <c r="C34" s="262"/>
      <c r="D34" s="262"/>
      <c r="E34" s="262"/>
      <c r="F34" s="263"/>
      <c r="J34" s="201"/>
    </row>
    <row r="35" spans="2:10" ht="13.6" x14ac:dyDescent="0.25">
      <c r="B35" s="261" t="s">
        <v>191</v>
      </c>
      <c r="C35" s="262"/>
      <c r="D35" s="262"/>
      <c r="E35" s="262"/>
      <c r="F35" s="263"/>
    </row>
    <row r="36" spans="2:10" ht="13.6" x14ac:dyDescent="0.25">
      <c r="B36" s="261" t="s">
        <v>192</v>
      </c>
      <c r="C36" s="262"/>
      <c r="D36" s="262"/>
      <c r="E36" s="262"/>
      <c r="F36" s="263"/>
    </row>
    <row r="37" spans="2:10" ht="13.6" x14ac:dyDescent="0.25">
      <c r="B37" s="228" t="s">
        <v>193</v>
      </c>
      <c r="C37" s="200"/>
      <c r="D37" s="200"/>
      <c r="E37" s="200"/>
      <c r="F37" s="229"/>
      <c r="J37" s="201"/>
    </row>
    <row r="38" spans="2:10" ht="52.3" customHeight="1" x14ac:dyDescent="0.25">
      <c r="B38" s="230"/>
      <c r="F38" s="231"/>
      <c r="J38" s="201"/>
    </row>
    <row r="39" spans="2:10" ht="14.3" thickBot="1" x14ac:dyDescent="0.3">
      <c r="B39" s="234" t="s">
        <v>225</v>
      </c>
      <c r="C39" s="232"/>
      <c r="D39" s="232"/>
      <c r="E39" s="232"/>
      <c r="F39" s="233"/>
      <c r="J39" s="201"/>
    </row>
    <row r="41" spans="2:10" ht="14.95" customHeight="1" x14ac:dyDescent="0.25">
      <c r="E41" s="17"/>
      <c r="J41" s="201"/>
    </row>
    <row r="42" spans="2:10" ht="14.95" customHeight="1" x14ac:dyDescent="0.25">
      <c r="E42" s="17"/>
      <c r="J42" s="201"/>
    </row>
    <row r="43" spans="2:10" ht="14.95" customHeight="1" x14ac:dyDescent="0.25">
      <c r="E43" s="17"/>
      <c r="J43" s="201"/>
    </row>
    <row r="44" spans="2:10" ht="14.95" customHeight="1" x14ac:dyDescent="0.25">
      <c r="J44" s="201"/>
    </row>
    <row r="46" spans="2:10" ht="14.95" customHeight="1" x14ac:dyDescent="0.25">
      <c r="J46" s="201"/>
    </row>
    <row r="47" spans="2:10" ht="14.95" customHeight="1" x14ac:dyDescent="0.25">
      <c r="J47" s="201"/>
    </row>
    <row r="48" spans="2:10" ht="14.95" customHeight="1" x14ac:dyDescent="0.25">
      <c r="J48" s="201"/>
    </row>
    <row r="49" s="201" customFormat="1" ht="14.95" customHeight="1" x14ac:dyDescent="0.25"/>
    <row r="50" s="201" customFormat="1" ht="14.95" customHeight="1" x14ac:dyDescent="0.25"/>
    <row r="51" s="201" customFormat="1" ht="14.95" customHeight="1" x14ac:dyDescent="0.25"/>
    <row r="52" s="201" customFormat="1" ht="14.95" customHeight="1" x14ac:dyDescent="0.25"/>
    <row r="60" s="201" customFormat="1" ht="14.95" customHeight="1" x14ac:dyDescent="0.25"/>
    <row r="63" s="201" customFormat="1" ht="14.95" customHeight="1" x14ac:dyDescent="0.25"/>
  </sheetData>
  <sheetProtection algorithmName="SHA-512" hashValue="9EmPv4Ygswx8YAWRYlpYV9wLYi0gK3DXwvCYQBF/nv2cd66eudih3mhRvzwOrsIjYgjeEetgddN/W/D4RGz4BQ==" saltValue="+qw37Kee9EDtlaxl5Ap9Vw==" spinCount="100000" sheet="1" objects="1" scenarios="1"/>
  <mergeCells count="31">
    <mergeCell ref="B33:F33"/>
    <mergeCell ref="B34:F34"/>
    <mergeCell ref="B35:F35"/>
    <mergeCell ref="B36:F36"/>
    <mergeCell ref="C6:F6"/>
    <mergeCell ref="C7:F7"/>
    <mergeCell ref="C8:F8"/>
    <mergeCell ref="C9:F9"/>
    <mergeCell ref="B32:F32"/>
    <mergeCell ref="C18:F18"/>
    <mergeCell ref="E26:E27"/>
    <mergeCell ref="F26:F27"/>
    <mergeCell ref="B21:F21"/>
    <mergeCell ref="D30:E30"/>
    <mergeCell ref="D31:E31"/>
    <mergeCell ref="B23:B24"/>
    <mergeCell ref="E23:E24"/>
    <mergeCell ref="B26:B27"/>
    <mergeCell ref="B29:F29"/>
    <mergeCell ref="B2:F2"/>
    <mergeCell ref="B3:F3"/>
    <mergeCell ref="C19:F19"/>
    <mergeCell ref="C12:F12"/>
    <mergeCell ref="C13:F13"/>
    <mergeCell ref="C10:F10"/>
    <mergeCell ref="C11:F11"/>
    <mergeCell ref="C16:F16"/>
    <mergeCell ref="C17:F17"/>
    <mergeCell ref="C14:F14"/>
    <mergeCell ref="C15:F15"/>
    <mergeCell ref="B5:F5"/>
  </mergeCells>
  <phoneticPr fontId="8" type="noConversion"/>
  <conditionalFormatting sqref="C17:C18">
    <cfRule type="expression" dxfId="1" priority="2">
      <formula>$C$16&lt;&gt;"Simples Nacional"</formula>
    </cfRule>
  </conditionalFormatting>
  <conditionalFormatting sqref="C19">
    <cfRule type="expression" dxfId="0" priority="1">
      <formula>$C$16&lt;&gt;"Lucro real - Incidência cumulativa de PIS e COFINS"</formula>
    </cfRule>
  </conditionalFormatting>
  <dataValidations count="5">
    <dataValidation type="list" allowBlank="1" showInputMessage="1" showErrorMessage="1" sqref="C16" xr:uid="{F3316BC4-9CDE-4578-A8AC-DE44DE9D068A}">
      <formula1>"Simples Nacional,Lucro presumido - Incidência cumulativa de PIS e COFINS,Lucro real - Incidência cumulativa de PIS e COFINS,"</formula1>
    </dataValidation>
    <dataValidation type="list" allowBlank="1" showInputMessage="1" showErrorMessage="1" sqref="C19:F19" xr:uid="{44DD49B0-1D3B-4215-8909-8671C9D3D233}">
      <formula1>"Sim,Não"</formula1>
    </dataValidation>
    <dataValidation type="decimal" allowBlank="1" showInputMessage="1" showErrorMessage="1" sqref="C13:F13" xr:uid="{A81FD9D4-FB97-43BE-BB9B-58B1596E2EF8}">
      <formula1>0.5</formula1>
      <formula2>2</formula2>
    </dataValidation>
    <dataValidation type="decimal" allowBlank="1" showInputMessage="1" showErrorMessage="1" sqref="C17:F17" xr:uid="{6C37BE38-ECCF-427B-8B33-7EEED898C8E2}">
      <formula1>0.01</formula1>
      <formula2>4800000</formula2>
    </dataValidation>
    <dataValidation type="list" operator="equal" allowBlank="1" showInputMessage="1" showErrorMessage="1" sqref="C12:F12" xr:uid="{43E0046F-5D03-489A-A2B7-62A2818E5E92}">
      <mc:AlternateContent xmlns:x12ac="http://schemas.microsoft.com/office/spreadsheetml/2011/1/ac" xmlns:mc="http://schemas.openxmlformats.org/markup-compatibility/2006">
        <mc:Choice Requires="x12ac">
          <x12ac:list>"1,00","2,00","3,00"</x12ac:list>
        </mc:Choice>
        <mc:Fallback>
          <formula1>"1,00,2,00,3,00"</formula1>
        </mc:Fallback>
      </mc:AlternateContent>
    </dataValidation>
  </dataValidations>
  <printOptions horizontalCentered="1" verticalCentered="1"/>
  <pageMargins left="0.7" right="0.7" top="0.75" bottom="0.75" header="0.3" footer="0.3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22591-8B5A-4425-8A5F-5CBA9D42FBBF}">
  <sheetPr codeName="Planilha1"/>
  <dimension ref="A1:D47"/>
  <sheetViews>
    <sheetView showGridLines="0" topLeftCell="A21" workbookViewId="0">
      <selection activeCell="C45" sqref="C45"/>
    </sheetView>
  </sheetViews>
  <sheetFormatPr defaultColWidth="8.625" defaultRowHeight="14.3" x14ac:dyDescent="0.25"/>
  <cols>
    <col min="1" max="1" width="2.5" customWidth="1"/>
    <col min="2" max="2" width="50.5" customWidth="1"/>
    <col min="3" max="3" width="30.875" customWidth="1"/>
    <col min="4" max="4" width="75.5" bestFit="1" customWidth="1"/>
  </cols>
  <sheetData>
    <row r="1" spans="1:4" ht="14.95" thickBot="1" x14ac:dyDescent="0.3">
      <c r="A1" s="19"/>
      <c r="B1" s="19"/>
      <c r="C1" s="19"/>
      <c r="D1" s="3"/>
    </row>
    <row r="2" spans="1:4" ht="14.95" thickBot="1" x14ac:dyDescent="0.3">
      <c r="A2" s="19"/>
      <c r="B2" s="243" t="s">
        <v>0</v>
      </c>
      <c r="C2" s="245"/>
      <c r="D2" s="2"/>
    </row>
    <row r="3" spans="1:4" ht="55.7" customHeight="1" thickBot="1" x14ac:dyDescent="0.3">
      <c r="A3" s="19"/>
      <c r="B3" s="246" t="s">
        <v>38</v>
      </c>
      <c r="C3" s="248"/>
      <c r="D3" s="2"/>
    </row>
    <row r="4" spans="1:4" ht="14.95" thickBot="1" x14ac:dyDescent="0.3">
      <c r="A4" s="19"/>
      <c r="B4" s="19"/>
      <c r="C4" s="19"/>
      <c r="D4" s="3"/>
    </row>
    <row r="5" spans="1:4" x14ac:dyDescent="0.25">
      <c r="A5" s="19"/>
      <c r="B5" s="120" t="s">
        <v>39</v>
      </c>
      <c r="C5" s="21" t="s">
        <v>37</v>
      </c>
      <c r="D5" s="3"/>
    </row>
    <row r="6" spans="1:4" x14ac:dyDescent="0.25">
      <c r="A6" s="19"/>
      <c r="B6" s="121" t="s">
        <v>40</v>
      </c>
      <c r="C6" s="33">
        <v>20.68</v>
      </c>
      <c r="D6" s="122" t="s">
        <v>194</v>
      </c>
    </row>
    <row r="7" spans="1:4" ht="14.95" thickBot="1" x14ac:dyDescent="0.3">
      <c r="A7" s="19"/>
      <c r="B7" s="123" t="s">
        <v>41</v>
      </c>
      <c r="C7" s="22">
        <v>60</v>
      </c>
    </row>
    <row r="8" spans="1:4" ht="14.95" thickBot="1" x14ac:dyDescent="0.3">
      <c r="A8" s="19"/>
      <c r="B8" s="17"/>
      <c r="C8" s="2"/>
      <c r="D8" s="3"/>
    </row>
    <row r="9" spans="1:4" ht="14.95" thickBot="1" x14ac:dyDescent="0.3">
      <c r="A9" s="19"/>
      <c r="B9" s="17"/>
      <c r="C9" s="124" t="s">
        <v>42</v>
      </c>
      <c r="D9" s="3"/>
    </row>
    <row r="10" spans="1:4" ht="24.65" customHeight="1" thickBot="1" x14ac:dyDescent="0.3">
      <c r="A10" s="19"/>
      <c r="B10" s="3"/>
      <c r="C10" s="125" t="s">
        <v>142</v>
      </c>
      <c r="D10" s="126" t="s">
        <v>195</v>
      </c>
    </row>
    <row r="11" spans="1:4" x14ac:dyDescent="0.25">
      <c r="A11" s="19"/>
      <c r="B11" s="127" t="s">
        <v>43</v>
      </c>
      <c r="C11" s="34">
        <f>SUM(C12,C13,C14)</f>
        <v>2004.23</v>
      </c>
      <c r="D11" s="128"/>
    </row>
    <row r="12" spans="1:4" x14ac:dyDescent="0.25">
      <c r="A12" s="19"/>
      <c r="B12" s="129" t="s">
        <v>44</v>
      </c>
      <c r="C12" s="116">
        <v>1993.32</v>
      </c>
      <c r="D12" s="130" t="s">
        <v>196</v>
      </c>
    </row>
    <row r="13" spans="1:4" x14ac:dyDescent="0.25">
      <c r="A13" s="19"/>
      <c r="B13" s="129" t="s">
        <v>143</v>
      </c>
      <c r="C13" s="131">
        <v>10.91</v>
      </c>
      <c r="D13" s="130" t="s">
        <v>197</v>
      </c>
    </row>
    <row r="14" spans="1:4" x14ac:dyDescent="0.25">
      <c r="A14" s="19"/>
      <c r="B14" s="129" t="s">
        <v>221</v>
      </c>
      <c r="C14" s="131">
        <v>0</v>
      </c>
      <c r="D14" s="190" t="s">
        <v>223</v>
      </c>
    </row>
    <row r="15" spans="1:4" x14ac:dyDescent="0.25">
      <c r="A15" s="19"/>
      <c r="B15" s="129"/>
      <c r="C15" s="36"/>
      <c r="D15" s="132"/>
    </row>
    <row r="16" spans="1:4" x14ac:dyDescent="0.25">
      <c r="A16" s="19"/>
      <c r="B16" s="133" t="s">
        <v>45</v>
      </c>
      <c r="C16" s="37">
        <f>C17+C21+C26+C29+C30</f>
        <v>743.32</v>
      </c>
      <c r="D16" s="115"/>
    </row>
    <row r="17" spans="1:4" x14ac:dyDescent="0.25">
      <c r="A17" s="19"/>
      <c r="B17" s="134" t="s">
        <v>34</v>
      </c>
      <c r="C17" s="38">
        <f>C18-C19+C20</f>
        <v>116.15</v>
      </c>
      <c r="D17" s="130"/>
    </row>
    <row r="18" spans="1:4" x14ac:dyDescent="0.25">
      <c r="A18" s="19"/>
      <c r="B18" s="135" t="s">
        <v>46</v>
      </c>
      <c r="C18" s="136">
        <f>ROUND('Dados da Empresa'!C31*'Dados de Custos'!C6*2,2)</f>
        <v>235.75</v>
      </c>
      <c r="D18" s="130" t="s">
        <v>198</v>
      </c>
    </row>
    <row r="19" spans="1:4" x14ac:dyDescent="0.25">
      <c r="A19" s="19"/>
      <c r="B19" s="135" t="s">
        <v>47</v>
      </c>
      <c r="C19" s="39">
        <f>ROUND(C12*0.06,2)</f>
        <v>119.6</v>
      </c>
      <c r="D19" s="130" t="s">
        <v>199</v>
      </c>
    </row>
    <row r="20" spans="1:4" x14ac:dyDescent="0.25">
      <c r="A20" s="19"/>
      <c r="B20" s="137" t="s">
        <v>48</v>
      </c>
      <c r="C20" s="39">
        <f>IF(AND('Dados da Empresa'!$C$16="Lucro real - Incidência cumulativa de PIS e COFINS",'Dados da Empresa'!C19="Sim"),-ROUND((C18+C19)*0.0925,2),0)</f>
        <v>0</v>
      </c>
      <c r="D20" s="130"/>
    </row>
    <row r="21" spans="1:4" x14ac:dyDescent="0.25">
      <c r="A21" s="19"/>
      <c r="B21" s="134" t="s">
        <v>49</v>
      </c>
      <c r="C21" s="38">
        <f>ROUND(C22*$C$6,2)+C25</f>
        <v>620.4</v>
      </c>
      <c r="D21" s="130"/>
    </row>
    <row r="22" spans="1:4" x14ac:dyDescent="0.25">
      <c r="A22" s="19"/>
      <c r="B22" s="137" t="s">
        <v>50</v>
      </c>
      <c r="C22" s="39">
        <f>C23-C24+C25</f>
        <v>30</v>
      </c>
      <c r="D22" s="130"/>
    </row>
    <row r="23" spans="1:4" x14ac:dyDescent="0.25">
      <c r="A23" s="19"/>
      <c r="B23" s="138" t="s">
        <v>51</v>
      </c>
      <c r="C23" s="35">
        <v>37.5</v>
      </c>
      <c r="D23" s="130" t="s">
        <v>200</v>
      </c>
    </row>
    <row r="24" spans="1:4" x14ac:dyDescent="0.25">
      <c r="A24" s="19"/>
      <c r="B24" s="138" t="s">
        <v>52</v>
      </c>
      <c r="C24" s="35">
        <f>C23*0.2</f>
        <v>7.5</v>
      </c>
      <c r="D24" s="130" t="s">
        <v>201</v>
      </c>
    </row>
    <row r="25" spans="1:4" x14ac:dyDescent="0.25">
      <c r="A25" s="19"/>
      <c r="B25" s="137" t="s">
        <v>48</v>
      </c>
      <c r="C25" s="39">
        <f>IF(AND('Dados da Empresa'!$C$16="Lucro real - Incidência cumulativa de PIS e COFINS",'Dados da Empresa'!C19="Sim"),-ROUND((C23*$C$6+C24*$C$6+#REF!)*0.0925,2),0)</f>
        <v>0</v>
      </c>
      <c r="D25" s="130"/>
    </row>
    <row r="26" spans="1:4" x14ac:dyDescent="0.25">
      <c r="A26" s="19"/>
      <c r="B26" s="134" t="s">
        <v>144</v>
      </c>
      <c r="C26" s="38">
        <f>C27+C28</f>
        <v>0.1</v>
      </c>
      <c r="D26" s="130"/>
    </row>
    <row r="27" spans="1:4" x14ac:dyDescent="0.25">
      <c r="A27" s="19"/>
      <c r="B27" s="137" t="s">
        <v>53</v>
      </c>
      <c r="C27" s="35">
        <v>0.1</v>
      </c>
      <c r="D27" s="130" t="s">
        <v>202</v>
      </c>
    </row>
    <row r="28" spans="1:4" x14ac:dyDescent="0.25">
      <c r="A28" s="19"/>
      <c r="B28" s="137" t="s">
        <v>48</v>
      </c>
      <c r="C28" s="39">
        <f>IF(AND('Dados da Empresa'!$C$16="Lucro real - Incidência cumulativa de PIS e COFINS",'Dados da Empresa'!C19="Sim"),-ROUND(C27*0.0925,2),0)</f>
        <v>0</v>
      </c>
      <c r="D28" s="130"/>
    </row>
    <row r="29" spans="1:4" x14ac:dyDescent="0.25">
      <c r="A29" s="19"/>
      <c r="B29" s="134" t="s">
        <v>54</v>
      </c>
      <c r="C29" s="40">
        <v>6.67</v>
      </c>
      <c r="D29" s="122" t="s">
        <v>226</v>
      </c>
    </row>
    <row r="30" spans="1:4" x14ac:dyDescent="0.25">
      <c r="A30" s="19"/>
      <c r="B30" s="134" t="s">
        <v>222</v>
      </c>
      <c r="C30" s="40">
        <v>0</v>
      </c>
      <c r="D30" s="190" t="s">
        <v>224</v>
      </c>
    </row>
    <row r="31" spans="1:4" x14ac:dyDescent="0.25">
      <c r="A31" s="19"/>
      <c r="B31" s="139"/>
      <c r="C31" s="41"/>
      <c r="D31" s="130"/>
    </row>
    <row r="32" spans="1:4" x14ac:dyDescent="0.25">
      <c r="A32" s="19"/>
      <c r="B32" s="140" t="s">
        <v>55</v>
      </c>
      <c r="C32" s="37">
        <f>C33+C35</f>
        <v>76.03</v>
      </c>
      <c r="D32" s="130"/>
    </row>
    <row r="33" spans="1:4" x14ac:dyDescent="0.25">
      <c r="A33" s="19"/>
      <c r="B33" s="134" t="s">
        <v>56</v>
      </c>
      <c r="C33" s="141">
        <f>C34+C35</f>
        <v>76.03</v>
      </c>
      <c r="D33" s="130"/>
    </row>
    <row r="34" spans="1:4" x14ac:dyDescent="0.25">
      <c r="A34" s="19"/>
      <c r="B34" s="142" t="s">
        <v>46</v>
      </c>
      <c r="C34" s="35">
        <f>'Calc. Uniformes'!G21</f>
        <v>76.03</v>
      </c>
      <c r="D34" s="130" t="s">
        <v>227</v>
      </c>
    </row>
    <row r="35" spans="1:4" x14ac:dyDescent="0.25">
      <c r="A35" s="19"/>
      <c r="B35" s="137" t="s">
        <v>48</v>
      </c>
      <c r="C35" s="39">
        <f>IF(AND('Dados da Empresa'!$C$16="Lucro real - Incidência cumulativa de PIS e COFINS",'Dados da Empresa'!C19="Sim"),-ROUND(C34*0.0925,2),0)</f>
        <v>0</v>
      </c>
      <c r="D35" s="130"/>
    </row>
    <row r="36" spans="1:4" x14ac:dyDescent="0.25">
      <c r="A36" s="19"/>
      <c r="B36" s="1"/>
      <c r="C36" s="42"/>
      <c r="D36" s="130"/>
    </row>
    <row r="37" spans="1:4" x14ac:dyDescent="0.25">
      <c r="A37" s="19"/>
      <c r="B37" s="140" t="s">
        <v>57</v>
      </c>
      <c r="C37" s="43">
        <f>C11*C38</f>
        <v>1538.85</v>
      </c>
      <c r="D37" s="130"/>
    </row>
    <row r="38" spans="1:4" x14ac:dyDescent="0.25">
      <c r="A38" s="19"/>
      <c r="B38" s="139" t="s">
        <v>58</v>
      </c>
      <c r="C38" s="44">
        <f>'Encargos sociais'!C41</f>
        <v>0.76780000000000004</v>
      </c>
      <c r="D38" s="130" t="s">
        <v>203</v>
      </c>
    </row>
    <row r="39" spans="1:4" x14ac:dyDescent="0.25">
      <c r="A39" s="19"/>
      <c r="B39" s="135"/>
      <c r="C39" s="45"/>
      <c r="D39" s="130"/>
    </row>
    <row r="40" spans="1:4" x14ac:dyDescent="0.25">
      <c r="A40" s="19"/>
      <c r="B40" s="133" t="s">
        <v>59</v>
      </c>
      <c r="C40" s="43">
        <f>ROUND((C37+C32+C16+C11)*C41,2)</f>
        <v>1213.19</v>
      </c>
      <c r="D40" s="130"/>
    </row>
    <row r="41" spans="1:4" ht="14.95" thickBot="1" x14ac:dyDescent="0.3">
      <c r="A41" s="19"/>
      <c r="B41" s="143" t="s">
        <v>60</v>
      </c>
      <c r="C41" s="44">
        <f>VLOOKUP($C$5,'Dados da Empresa'!$B$30:$F$31,5,FALSE)</f>
        <v>0.27810000000000001</v>
      </c>
      <c r="D41" s="144" t="s">
        <v>204</v>
      </c>
    </row>
    <row r="42" spans="1:4" ht="14.95" thickBot="1" x14ac:dyDescent="0.3">
      <c r="A42" s="19"/>
      <c r="B42" s="145"/>
      <c r="C42" s="46"/>
    </row>
    <row r="43" spans="1:4" ht="15.65" thickTop="1" thickBot="1" x14ac:dyDescent="0.3">
      <c r="A43" s="19"/>
      <c r="B43" s="146" t="s">
        <v>61</v>
      </c>
      <c r="C43" s="47">
        <v>5575.52</v>
      </c>
    </row>
    <row r="44" spans="1:4" ht="14.95" thickBot="1" x14ac:dyDescent="0.3">
      <c r="A44" s="19"/>
      <c r="B44" s="147"/>
      <c r="C44" s="148"/>
    </row>
    <row r="45" spans="1:4" ht="14.95" thickBot="1" x14ac:dyDescent="0.3">
      <c r="A45" s="19"/>
      <c r="B45" s="149" t="s">
        <v>62</v>
      </c>
      <c r="C45" s="58">
        <f>ROUND(C43/$C$6,2)</f>
        <v>269.61</v>
      </c>
      <c r="D45" s="150" t="s">
        <v>205</v>
      </c>
    </row>
    <row r="46" spans="1:4" ht="14.95" thickBot="1" x14ac:dyDescent="0.3"/>
    <row r="47" spans="1:4" ht="14.95" thickBot="1" x14ac:dyDescent="0.3">
      <c r="B47" s="149" t="s">
        <v>217</v>
      </c>
      <c r="C47" s="58">
        <f>(C43/220)*2</f>
        <v>50.69</v>
      </c>
      <c r="D47" s="150" t="s">
        <v>218</v>
      </c>
    </row>
  </sheetData>
  <sheetProtection algorithmName="SHA-512" hashValue="PEEcOJ2ULEv+dStJ5I1ZUuPqJK84+G5dh9Q3L1yiMc55w2rNcDggsXZ525rd8byTF3xbqwdm6hnGbPmZkfwufg==" saltValue="FhuWaEzyT/s6+nobl7mCYQ==" spinCount="100000" sheet="1" objects="1" scenarios="1"/>
  <mergeCells count="2">
    <mergeCell ref="B2:C2"/>
    <mergeCell ref="B3:C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B1:D41"/>
  <sheetViews>
    <sheetView workbookViewId="0">
      <selection activeCell="B2" sqref="B2:C2"/>
    </sheetView>
  </sheetViews>
  <sheetFormatPr defaultColWidth="9.125" defaultRowHeight="14.3" x14ac:dyDescent="0.25"/>
  <cols>
    <col min="1" max="1" width="2.875" style="2" customWidth="1"/>
    <col min="2" max="2" width="69.5" style="2" bestFit="1" customWidth="1"/>
    <col min="3" max="3" width="10.75" style="2" bestFit="1" customWidth="1"/>
    <col min="4" max="4" width="52.125" style="2" bestFit="1" customWidth="1"/>
    <col min="5" max="16384" width="9.125" style="2"/>
  </cols>
  <sheetData>
    <row r="1" spans="2:4" ht="14.95" thickBot="1" x14ac:dyDescent="0.3"/>
    <row r="2" spans="2:4" ht="15.8" customHeight="1" thickBot="1" x14ac:dyDescent="0.3">
      <c r="B2" s="243" t="s">
        <v>0</v>
      </c>
      <c r="C2" s="245"/>
    </row>
    <row r="3" spans="2:4" ht="59.95" customHeight="1" thickBot="1" x14ac:dyDescent="0.3">
      <c r="B3" s="246" t="s">
        <v>63</v>
      </c>
      <c r="C3" s="248"/>
    </row>
    <row r="4" spans="2:4" ht="14.95" thickBot="1" x14ac:dyDescent="0.3"/>
    <row r="5" spans="2:4" ht="14.95" thickBot="1" x14ac:dyDescent="0.3">
      <c r="B5" s="273" t="s">
        <v>64</v>
      </c>
      <c r="C5" s="274"/>
      <c r="D5" s="275"/>
    </row>
    <row r="6" spans="2:4" x14ac:dyDescent="0.25">
      <c r="B6" s="7" t="s">
        <v>65</v>
      </c>
      <c r="C6" s="12">
        <f>SUM(C7:C13)+C14</f>
        <v>0.36799999999999999</v>
      </c>
      <c r="D6" s="117" t="s">
        <v>206</v>
      </c>
    </row>
    <row r="7" spans="2:4" x14ac:dyDescent="0.25">
      <c r="B7" s="6" t="s">
        <v>66</v>
      </c>
      <c r="C7" s="16">
        <v>0.2</v>
      </c>
      <c r="D7" s="118" t="s">
        <v>207</v>
      </c>
    </row>
    <row r="8" spans="2:4" x14ac:dyDescent="0.25">
      <c r="B8" s="11" t="s">
        <v>67</v>
      </c>
      <c r="C8" s="16">
        <f>IF('Dados da Empresa'!$C$16="Simples Nacional",0,1.5%)</f>
        <v>1.4999999999999999E-2</v>
      </c>
      <c r="D8" s="118" t="s">
        <v>208</v>
      </c>
    </row>
    <row r="9" spans="2:4" x14ac:dyDescent="0.25">
      <c r="B9" s="11" t="s">
        <v>68</v>
      </c>
      <c r="C9" s="16">
        <f>IF('Dados da Empresa'!$C$16="Simples Nacional",0,1%)</f>
        <v>0.01</v>
      </c>
      <c r="D9" s="118" t="s">
        <v>209</v>
      </c>
    </row>
    <row r="10" spans="2:4" x14ac:dyDescent="0.25">
      <c r="B10" s="11" t="s">
        <v>69</v>
      </c>
      <c r="C10" s="16">
        <f>IF('Dados da Empresa'!$C$16="Simples Nacional",0,0.2%)</f>
        <v>2E-3</v>
      </c>
      <c r="D10" s="118" t="s">
        <v>210</v>
      </c>
    </row>
    <row r="11" spans="2:4" x14ac:dyDescent="0.25">
      <c r="B11" s="11" t="s">
        <v>70</v>
      </c>
      <c r="C11" s="16">
        <f>IF('Dados da Empresa'!$C$16="Simples Nacional",0,0.6%)</f>
        <v>6.0000000000000001E-3</v>
      </c>
      <c r="D11" s="118" t="s">
        <v>211</v>
      </c>
    </row>
    <row r="12" spans="2:4" x14ac:dyDescent="0.25">
      <c r="B12" s="11" t="s">
        <v>71</v>
      </c>
      <c r="C12" s="16">
        <f>IF('Dados da Empresa'!$C$16="Simples Nacional",0,2.5%)</f>
        <v>2.5000000000000001E-2</v>
      </c>
      <c r="D12" s="118" t="s">
        <v>212</v>
      </c>
    </row>
    <row r="13" spans="2:4" x14ac:dyDescent="0.25">
      <c r="B13" s="6" t="s">
        <v>72</v>
      </c>
      <c r="C13" s="16">
        <v>0.08</v>
      </c>
      <c r="D13" s="118" t="s">
        <v>208</v>
      </c>
    </row>
    <row r="14" spans="2:4" x14ac:dyDescent="0.25">
      <c r="B14" s="6" t="s">
        <v>73</v>
      </c>
      <c r="C14" s="235">
        <f>('Dados da Empresa'!C12*'Dados da Empresa'!C13)/100</f>
        <v>0.03</v>
      </c>
      <c r="D14" s="118" t="s">
        <v>213</v>
      </c>
    </row>
    <row r="15" spans="2:4" x14ac:dyDescent="0.25">
      <c r="B15" s="5" t="s">
        <v>74</v>
      </c>
      <c r="C15" s="13">
        <f>SUM(C16:C21)</f>
        <v>0.11668000000000001</v>
      </c>
      <c r="D15" s="119"/>
    </row>
    <row r="16" spans="2:4" x14ac:dyDescent="0.25">
      <c r="B16" s="6" t="s">
        <v>75</v>
      </c>
      <c r="C16" s="23">
        <v>9.128E-2</v>
      </c>
      <c r="D16" s="118" t="s">
        <v>214</v>
      </c>
    </row>
    <row r="17" spans="2:4" x14ac:dyDescent="0.25">
      <c r="B17" s="6" t="s">
        <v>215</v>
      </c>
      <c r="C17" s="31">
        <v>1.537E-2</v>
      </c>
      <c r="D17" s="118" t="s">
        <v>214</v>
      </c>
    </row>
    <row r="18" spans="2:4" x14ac:dyDescent="0.25">
      <c r="B18" s="6" t="s">
        <v>216</v>
      </c>
      <c r="C18" s="31">
        <v>9.1000000000000004E-3</v>
      </c>
      <c r="D18" s="118" t="s">
        <v>214</v>
      </c>
    </row>
    <row r="19" spans="2:4" x14ac:dyDescent="0.25">
      <c r="B19" s="11" t="s">
        <v>76</v>
      </c>
      <c r="C19" s="31">
        <v>5.2999999999999998E-4</v>
      </c>
      <c r="D19" s="118" t="s">
        <v>214</v>
      </c>
    </row>
    <row r="20" spans="2:4" x14ac:dyDescent="0.25">
      <c r="B20" s="6" t="s">
        <v>77</v>
      </c>
      <c r="C20" s="31">
        <v>2.7999999999999998E-4</v>
      </c>
      <c r="D20" s="118" t="s">
        <v>214</v>
      </c>
    </row>
    <row r="21" spans="2:4" x14ac:dyDescent="0.25">
      <c r="B21" s="6" t="s">
        <v>78</v>
      </c>
      <c r="C21" s="31">
        <v>1.2E-4</v>
      </c>
      <c r="D21" s="118" t="s">
        <v>214</v>
      </c>
    </row>
    <row r="22" spans="2:4" x14ac:dyDescent="0.25">
      <c r="B22" s="5" t="s">
        <v>79</v>
      </c>
      <c r="C22" s="13">
        <f>SUM(C23:C24)</f>
        <v>0.12402000000000001</v>
      </c>
      <c r="D22" s="119"/>
    </row>
    <row r="23" spans="2:4" x14ac:dyDescent="0.25">
      <c r="B23" s="6" t="s">
        <v>80</v>
      </c>
      <c r="C23" s="23">
        <v>3.0429999999999999E-2</v>
      </c>
      <c r="D23" s="118" t="s">
        <v>214</v>
      </c>
    </row>
    <row r="24" spans="2:4" x14ac:dyDescent="0.25">
      <c r="B24" s="6" t="s">
        <v>81</v>
      </c>
      <c r="C24" s="23">
        <v>9.3590000000000007E-2</v>
      </c>
      <c r="D24" s="118" t="s">
        <v>214</v>
      </c>
    </row>
    <row r="25" spans="2:4" x14ac:dyDescent="0.25">
      <c r="B25" s="5" t="s">
        <v>82</v>
      </c>
      <c r="C25" s="13">
        <f>SUM(C26:C30)</f>
        <v>5.9133999999999999E-2</v>
      </c>
      <c r="D25" s="119"/>
    </row>
    <row r="26" spans="2:4" x14ac:dyDescent="0.25">
      <c r="B26" s="6" t="s">
        <v>83</v>
      </c>
      <c r="C26" s="31">
        <v>4.333E-2</v>
      </c>
      <c r="D26" s="118" t="s">
        <v>214</v>
      </c>
    </row>
    <row r="27" spans="2:4" x14ac:dyDescent="0.25">
      <c r="B27" s="6" t="s">
        <v>84</v>
      </c>
      <c r="C27" s="31">
        <v>3.47E-3</v>
      </c>
      <c r="D27" s="118" t="s">
        <v>214</v>
      </c>
    </row>
    <row r="28" spans="2:4" x14ac:dyDescent="0.25">
      <c r="B28" s="6" t="s">
        <v>85</v>
      </c>
      <c r="C28" s="31">
        <v>1.0829999999999999E-2</v>
      </c>
      <c r="D28" s="118" t="s">
        <v>214</v>
      </c>
    </row>
    <row r="29" spans="2:4" x14ac:dyDescent="0.25">
      <c r="B29" s="6" t="s">
        <v>86</v>
      </c>
      <c r="C29" s="31">
        <v>1.5E-3</v>
      </c>
      <c r="D29" s="118" t="s">
        <v>214</v>
      </c>
    </row>
    <row r="30" spans="2:4" x14ac:dyDescent="0.25">
      <c r="B30" s="6" t="s">
        <v>87</v>
      </c>
      <c r="C30" s="31">
        <v>3.9999999999999998E-6</v>
      </c>
      <c r="D30" s="118" t="s">
        <v>214</v>
      </c>
    </row>
    <row r="31" spans="2:4" x14ac:dyDescent="0.25">
      <c r="B31" s="5" t="s">
        <v>88</v>
      </c>
      <c r="C31" s="13">
        <f>SUM(C32:C37)</f>
        <v>1.1455E-2</v>
      </c>
      <c r="D31" s="119"/>
    </row>
    <row r="32" spans="2:4" x14ac:dyDescent="0.25">
      <c r="B32" s="11" t="s">
        <v>89</v>
      </c>
      <c r="C32" s="31">
        <v>4.8999999999999998E-4</v>
      </c>
      <c r="D32" s="118" t="s">
        <v>214</v>
      </c>
    </row>
    <row r="33" spans="2:4" x14ac:dyDescent="0.25">
      <c r="B33" s="6" t="s">
        <v>90</v>
      </c>
      <c r="C33" s="31">
        <v>1.5E-5</v>
      </c>
      <c r="D33" s="118" t="s">
        <v>214</v>
      </c>
    </row>
    <row r="34" spans="2:4" x14ac:dyDescent="0.25">
      <c r="B34" s="6" t="s">
        <v>91</v>
      </c>
      <c r="C34" s="31">
        <v>1.2999999999999999E-3</v>
      </c>
      <c r="D34" s="118" t="s">
        <v>214</v>
      </c>
    </row>
    <row r="35" spans="2:4" x14ac:dyDescent="0.25">
      <c r="B35" s="6" t="s">
        <v>92</v>
      </c>
      <c r="C35" s="31">
        <v>8.43E-3</v>
      </c>
      <c r="D35" s="118" t="s">
        <v>214</v>
      </c>
    </row>
    <row r="36" spans="2:4" x14ac:dyDescent="0.25">
      <c r="B36" s="6" t="s">
        <v>93</v>
      </c>
      <c r="C36" s="31">
        <v>2.9E-4</v>
      </c>
      <c r="D36" s="118" t="s">
        <v>214</v>
      </c>
    </row>
    <row r="37" spans="2:4" x14ac:dyDescent="0.25">
      <c r="B37" s="6" t="s">
        <v>94</v>
      </c>
      <c r="C37" s="31">
        <v>9.3000000000000005E-4</v>
      </c>
      <c r="D37" s="118" t="s">
        <v>214</v>
      </c>
    </row>
    <row r="38" spans="2:4" x14ac:dyDescent="0.25">
      <c r="B38" s="5" t="s">
        <v>95</v>
      </c>
      <c r="C38" s="13">
        <f>SUM(C39:C40)</f>
        <v>8.8529999999999998E-2</v>
      </c>
      <c r="D38" s="119"/>
    </row>
    <row r="39" spans="2:4" x14ac:dyDescent="0.25">
      <c r="B39" s="6" t="s">
        <v>96</v>
      </c>
      <c r="C39" s="23">
        <v>4.292E-2</v>
      </c>
      <c r="D39" s="118" t="s">
        <v>214</v>
      </c>
    </row>
    <row r="40" spans="2:4" ht="14.95" thickBot="1" x14ac:dyDescent="0.3">
      <c r="B40" s="9" t="s">
        <v>97</v>
      </c>
      <c r="C40" s="24">
        <v>4.5609999999999998E-2</v>
      </c>
      <c r="D40" s="118" t="s">
        <v>214</v>
      </c>
    </row>
    <row r="41" spans="2:4" ht="15.65" thickTop="1" thickBot="1" x14ac:dyDescent="0.3">
      <c r="B41" s="8" t="s">
        <v>98</v>
      </c>
      <c r="C41" s="14">
        <f>SUM(C38,C31,C25,C22,C15,C6)</f>
        <v>0.76781900000000003</v>
      </c>
    </row>
  </sheetData>
  <sheetProtection algorithmName="SHA-512" hashValue="VkiGdt90notVjouqLoeNwgh0YeRcVbPaKb54wEygkth+q2a2hd+1+pVZSmsNveNSUcfMdlvF/NAQxGNJmAIDxA==" saltValue="+0mJBkY5vmmuZK5lXmqs5g==" spinCount="100000" sheet="1" objects="1" scenarios="1"/>
  <mergeCells count="3">
    <mergeCell ref="B2:C2"/>
    <mergeCell ref="B3:C3"/>
    <mergeCell ref="B5:D5"/>
  </mergeCells>
  <phoneticPr fontId="8" type="noConversion"/>
  <pageMargins left="0.7" right="0.7" top="0.75" bottom="0.75" header="0.3" footer="0.3"/>
  <pageSetup paperSize="9"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061DE-4B33-4AE6-9707-ECDC034A1C9D}">
  <sheetPr codeName="Planilha2"/>
  <dimension ref="B3:H21"/>
  <sheetViews>
    <sheetView workbookViewId="0">
      <selection activeCell="C4" sqref="C4:H4"/>
    </sheetView>
  </sheetViews>
  <sheetFormatPr defaultColWidth="9.125" defaultRowHeight="13.6" x14ac:dyDescent="0.25"/>
  <cols>
    <col min="1" max="2" width="2.875" style="19" customWidth="1"/>
    <col min="3" max="3" width="46.875" style="19" bestFit="1" customWidth="1"/>
    <col min="4" max="4" width="15" style="19" customWidth="1"/>
    <col min="5" max="5" width="11" style="19" bestFit="1" customWidth="1"/>
    <col min="6" max="6" width="18.5" style="19" bestFit="1" customWidth="1"/>
    <col min="7" max="7" width="16.5" style="19" bestFit="1" customWidth="1"/>
    <col min="8" max="8" width="19.5" style="19" bestFit="1" customWidth="1"/>
    <col min="9" max="16384" width="9.125" style="19"/>
  </cols>
  <sheetData>
    <row r="3" spans="2:8" ht="14.3" thickBot="1" x14ac:dyDescent="0.3"/>
    <row r="4" spans="2:8" ht="14.3" thickBot="1" x14ac:dyDescent="0.3">
      <c r="C4" s="281" t="s">
        <v>145</v>
      </c>
      <c r="D4" s="282"/>
      <c r="E4" s="282"/>
      <c r="F4" s="282"/>
      <c r="G4" s="282"/>
      <c r="H4" s="283"/>
    </row>
    <row r="5" spans="2:8" ht="27.85" thickBot="1" x14ac:dyDescent="0.3">
      <c r="C5" s="151" t="s">
        <v>118</v>
      </c>
      <c r="D5" s="152" t="s">
        <v>119</v>
      </c>
      <c r="E5" s="152" t="s">
        <v>120</v>
      </c>
      <c r="F5" s="153" t="s">
        <v>121</v>
      </c>
      <c r="G5" s="152" t="s">
        <v>122</v>
      </c>
      <c r="H5" s="154" t="s">
        <v>22</v>
      </c>
    </row>
    <row r="6" spans="2:8" x14ac:dyDescent="0.25">
      <c r="B6" s="284" t="s">
        <v>123</v>
      </c>
      <c r="C6" s="155" t="s">
        <v>134</v>
      </c>
      <c r="D6" s="156">
        <v>2</v>
      </c>
      <c r="E6" s="157">
        <v>12</v>
      </c>
      <c r="F6" s="158">
        <v>52.65</v>
      </c>
      <c r="G6" s="159">
        <f t="shared" ref="G6:G19" si="0">F6*D6/E6</f>
        <v>8.7799999999999994</v>
      </c>
      <c r="H6" s="160" t="s">
        <v>124</v>
      </c>
    </row>
    <row r="7" spans="2:8" x14ac:dyDescent="0.25">
      <c r="B7" s="285"/>
      <c r="C7" s="161" t="s">
        <v>138</v>
      </c>
      <c r="D7" s="162">
        <v>4</v>
      </c>
      <c r="E7" s="163">
        <v>12</v>
      </c>
      <c r="F7" s="164">
        <v>104.79</v>
      </c>
      <c r="G7" s="165">
        <f t="shared" si="0"/>
        <v>34.93</v>
      </c>
      <c r="H7" s="166" t="s">
        <v>124</v>
      </c>
    </row>
    <row r="8" spans="2:8" x14ac:dyDescent="0.25">
      <c r="B8" s="285"/>
      <c r="C8" s="167" t="s">
        <v>135</v>
      </c>
      <c r="D8" s="168">
        <v>2</v>
      </c>
      <c r="E8" s="32">
        <v>12</v>
      </c>
      <c r="F8" s="169">
        <v>85.69</v>
      </c>
      <c r="G8" s="170">
        <f t="shared" si="0"/>
        <v>14.28</v>
      </c>
      <c r="H8" s="171" t="s">
        <v>124</v>
      </c>
    </row>
    <row r="9" spans="2:8" x14ac:dyDescent="0.25">
      <c r="B9" s="285"/>
      <c r="C9" s="167" t="s">
        <v>126</v>
      </c>
      <c r="D9" s="168">
        <v>2</v>
      </c>
      <c r="E9" s="32">
        <v>24</v>
      </c>
      <c r="F9" s="169">
        <v>14.46</v>
      </c>
      <c r="G9" s="170">
        <f t="shared" si="0"/>
        <v>1.21</v>
      </c>
      <c r="H9" s="171" t="s">
        <v>124</v>
      </c>
    </row>
    <row r="10" spans="2:8" x14ac:dyDescent="0.25">
      <c r="B10" s="285"/>
      <c r="C10" s="167" t="s">
        <v>139</v>
      </c>
      <c r="D10" s="168">
        <v>2</v>
      </c>
      <c r="E10" s="32">
        <v>24</v>
      </c>
      <c r="F10" s="169">
        <v>100.59</v>
      </c>
      <c r="G10" s="170">
        <f t="shared" si="0"/>
        <v>8.3800000000000008</v>
      </c>
      <c r="H10" s="171" t="s">
        <v>124</v>
      </c>
    </row>
    <row r="11" spans="2:8" x14ac:dyDescent="0.25">
      <c r="B11" s="285"/>
      <c r="C11" s="167" t="s">
        <v>127</v>
      </c>
      <c r="D11" s="168">
        <v>4</v>
      </c>
      <c r="E11" s="32">
        <v>12</v>
      </c>
      <c r="F11" s="169">
        <v>7.21</v>
      </c>
      <c r="G11" s="170">
        <f t="shared" si="0"/>
        <v>2.4</v>
      </c>
      <c r="H11" s="171" t="s">
        <v>124</v>
      </c>
    </row>
    <row r="12" spans="2:8" ht="14.3" thickBot="1" x14ac:dyDescent="0.3">
      <c r="B12" s="286"/>
      <c r="C12" s="172" t="s">
        <v>128</v>
      </c>
      <c r="D12" s="173">
        <v>1</v>
      </c>
      <c r="E12" s="174">
        <v>12</v>
      </c>
      <c r="F12" s="175">
        <v>6.17</v>
      </c>
      <c r="G12" s="176">
        <f t="shared" si="0"/>
        <v>0.51</v>
      </c>
      <c r="H12" s="177" t="s">
        <v>124</v>
      </c>
    </row>
    <row r="13" spans="2:8" x14ac:dyDescent="0.25">
      <c r="B13" s="284" t="s">
        <v>129</v>
      </c>
      <c r="C13" s="155" t="s">
        <v>130</v>
      </c>
      <c r="D13" s="156">
        <v>2</v>
      </c>
      <c r="E13" s="178">
        <v>12</v>
      </c>
      <c r="F13" s="179">
        <v>98.66</v>
      </c>
      <c r="G13" s="159">
        <f t="shared" si="0"/>
        <v>16.440000000000001</v>
      </c>
      <c r="H13" s="160" t="s">
        <v>25</v>
      </c>
    </row>
    <row r="14" spans="2:8" x14ac:dyDescent="0.25">
      <c r="B14" s="285"/>
      <c r="C14" s="161" t="s">
        <v>133</v>
      </c>
      <c r="D14" s="162">
        <v>2</v>
      </c>
      <c r="E14" s="180">
        <v>12</v>
      </c>
      <c r="F14" s="181">
        <v>84.49</v>
      </c>
      <c r="G14" s="165">
        <f t="shared" si="0"/>
        <v>14.08</v>
      </c>
      <c r="H14" s="166" t="s">
        <v>25</v>
      </c>
    </row>
    <row r="15" spans="2:8" x14ac:dyDescent="0.25">
      <c r="B15" s="285"/>
      <c r="C15" s="161" t="s">
        <v>136</v>
      </c>
      <c r="D15" s="162">
        <v>2</v>
      </c>
      <c r="E15" s="180">
        <v>12</v>
      </c>
      <c r="F15" s="181">
        <v>86.32</v>
      </c>
      <c r="G15" s="165">
        <f t="shared" si="0"/>
        <v>14.39</v>
      </c>
      <c r="H15" s="166" t="s">
        <v>25</v>
      </c>
    </row>
    <row r="16" spans="2:8" x14ac:dyDescent="0.25">
      <c r="B16" s="285"/>
      <c r="C16" s="161" t="s">
        <v>137</v>
      </c>
      <c r="D16" s="162">
        <v>2</v>
      </c>
      <c r="E16" s="180">
        <v>12</v>
      </c>
      <c r="F16" s="181">
        <v>115.21</v>
      </c>
      <c r="G16" s="165">
        <f t="shared" si="0"/>
        <v>19.2</v>
      </c>
      <c r="H16" s="166" t="s">
        <v>25</v>
      </c>
    </row>
    <row r="17" spans="2:8" x14ac:dyDescent="0.25">
      <c r="B17" s="285"/>
      <c r="C17" s="161" t="s">
        <v>125</v>
      </c>
      <c r="D17" s="162">
        <v>2</v>
      </c>
      <c r="E17" s="180">
        <v>12</v>
      </c>
      <c r="F17" s="181">
        <v>62.62</v>
      </c>
      <c r="G17" s="165">
        <f t="shared" si="0"/>
        <v>10.44</v>
      </c>
      <c r="H17" s="166" t="s">
        <v>25</v>
      </c>
    </row>
    <row r="18" spans="2:8" x14ac:dyDescent="0.25">
      <c r="B18" s="285"/>
      <c r="C18" s="161" t="s">
        <v>127</v>
      </c>
      <c r="D18" s="162">
        <v>4</v>
      </c>
      <c r="E18" s="180">
        <v>12</v>
      </c>
      <c r="F18" s="181">
        <v>2.9</v>
      </c>
      <c r="G18" s="165">
        <f t="shared" si="0"/>
        <v>0.97</v>
      </c>
      <c r="H18" s="166" t="s">
        <v>25</v>
      </c>
    </row>
    <row r="19" spans="2:8" ht="14.3" thickBot="1" x14ac:dyDescent="0.3">
      <c r="B19" s="286"/>
      <c r="C19" s="182" t="s">
        <v>128</v>
      </c>
      <c r="D19" s="183">
        <v>1</v>
      </c>
      <c r="E19" s="184">
        <v>12</v>
      </c>
      <c r="F19" s="185">
        <v>6.17</v>
      </c>
      <c r="G19" s="186">
        <f t="shared" si="0"/>
        <v>0.51</v>
      </c>
      <c r="H19" s="187" t="s">
        <v>25</v>
      </c>
    </row>
    <row r="20" spans="2:8" ht="14.3" thickBot="1" x14ac:dyDescent="0.3">
      <c r="F20" s="188" t="s">
        <v>131</v>
      </c>
      <c r="G20" s="189">
        <f>ROUND(SUM(G6:G12),2)</f>
        <v>70.489999999999995</v>
      </c>
    </row>
    <row r="21" spans="2:8" ht="14.3" thickBot="1" x14ac:dyDescent="0.3">
      <c r="F21" s="188" t="s">
        <v>132</v>
      </c>
      <c r="G21" s="189">
        <f>ROUND(SUM(G13:G19),2)</f>
        <v>76.03</v>
      </c>
    </row>
  </sheetData>
  <sheetProtection algorithmName="SHA-512" hashValue="Qu01v76fJaSj3gqv2nuNJlagRzG4uugVEuMEZbujFT3HkuO88NL8NXGBpwYsWF2wG7AYzuSLdN22XxLeg2k8WA==" saltValue="kCnBbJdalJDgI4HMFq2oUg==" spinCount="100000" sheet="1" objects="1" scenarios="1"/>
  <mergeCells count="3">
    <mergeCell ref="C4:H4"/>
    <mergeCell ref="B6:B12"/>
    <mergeCell ref="B13:B19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E334B-9493-4B0C-80FA-7CCBBC221B07}">
  <sheetPr codeName="Planilha3"/>
  <dimension ref="C3:R18"/>
  <sheetViews>
    <sheetView showGridLines="0" tabSelected="1" zoomScale="80" zoomScaleNormal="80" workbookViewId="0">
      <selection activeCell="F11" sqref="F11:P11"/>
    </sheetView>
  </sheetViews>
  <sheetFormatPr defaultColWidth="8.625" defaultRowHeight="14.3" x14ac:dyDescent="0.25"/>
  <cols>
    <col min="2" max="2" width="3.5" customWidth="1"/>
    <col min="3" max="3" width="8.125" style="198" customWidth="1"/>
    <col min="4" max="4" width="31.5" style="199" customWidth="1"/>
    <col min="5" max="5" width="14.125" bestFit="1" customWidth="1"/>
    <col min="6" max="17" width="15.125" customWidth="1"/>
    <col min="18" max="18" width="35.875" customWidth="1"/>
  </cols>
  <sheetData>
    <row r="3" spans="3:18" x14ac:dyDescent="0.25">
      <c r="C3" s="307" t="s">
        <v>148</v>
      </c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</row>
    <row r="4" spans="3:18" x14ac:dyDescent="0.25"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</row>
    <row r="7" spans="3:18" ht="122.3" customHeight="1" x14ac:dyDescent="0.25">
      <c r="C7" s="191" t="s">
        <v>149</v>
      </c>
      <c r="D7" s="191" t="s">
        <v>150</v>
      </c>
      <c r="E7" s="59" t="s">
        <v>101</v>
      </c>
      <c r="F7" s="59" t="s">
        <v>151</v>
      </c>
      <c r="G7" s="59" t="s">
        <v>152</v>
      </c>
      <c r="H7" s="59" t="s">
        <v>153</v>
      </c>
      <c r="I7" s="59" t="s">
        <v>154</v>
      </c>
      <c r="J7" s="59" t="s">
        <v>155</v>
      </c>
      <c r="K7" s="59" t="s">
        <v>156</v>
      </c>
      <c r="L7" s="59" t="s">
        <v>157</v>
      </c>
      <c r="M7" s="59" t="s">
        <v>158</v>
      </c>
      <c r="N7" s="59" t="s">
        <v>159</v>
      </c>
      <c r="O7" s="59" t="s">
        <v>160</v>
      </c>
      <c r="P7" s="59" t="s">
        <v>161</v>
      </c>
      <c r="Q7" s="59" t="s">
        <v>162</v>
      </c>
      <c r="R7" s="59" t="s">
        <v>163</v>
      </c>
    </row>
    <row r="8" spans="3:18" s="194" customFormat="1" ht="70.3" customHeight="1" x14ac:dyDescent="0.25">
      <c r="C8" s="192">
        <v>1</v>
      </c>
      <c r="D8" s="193" t="s">
        <v>164</v>
      </c>
      <c r="E8" s="192">
        <v>2</v>
      </c>
      <c r="F8" s="79">
        <v>3445</v>
      </c>
      <c r="G8" s="192">
        <v>74.89</v>
      </c>
      <c r="H8" s="79">
        <v>15.29</v>
      </c>
      <c r="I8" s="192">
        <v>41.46</v>
      </c>
      <c r="J8" s="79">
        <v>29.89</v>
      </c>
      <c r="K8" s="192">
        <v>11.78</v>
      </c>
      <c r="L8" s="79">
        <v>59.78</v>
      </c>
      <c r="M8" s="308" t="s">
        <v>165</v>
      </c>
      <c r="N8" s="309"/>
      <c r="O8" s="309"/>
      <c r="P8" s="310"/>
      <c r="Q8" s="81">
        <f>(E8*F8)+(G8*H8)+(I8*J8)+(K8*L8)</f>
        <v>9978.52</v>
      </c>
      <c r="R8" s="80"/>
    </row>
    <row r="9" spans="3:18" s="194" customFormat="1" ht="70.3" customHeight="1" x14ac:dyDescent="0.25">
      <c r="C9" s="192">
        <v>2</v>
      </c>
      <c r="D9" s="193" t="s">
        <v>166</v>
      </c>
      <c r="E9" s="192">
        <v>1</v>
      </c>
      <c r="F9" s="79">
        <v>2100</v>
      </c>
      <c r="G9" s="308" t="s">
        <v>165</v>
      </c>
      <c r="H9" s="309"/>
      <c r="I9" s="309"/>
      <c r="J9" s="309"/>
      <c r="K9" s="309"/>
      <c r="L9" s="310"/>
      <c r="M9" s="192">
        <f>100/200</f>
        <v>0.5</v>
      </c>
      <c r="N9" s="79">
        <v>2056.88</v>
      </c>
      <c r="O9" s="192">
        <f>100/200</f>
        <v>0.5</v>
      </c>
      <c r="P9" s="79">
        <v>2056.88</v>
      </c>
      <c r="Q9" s="81">
        <f>(E9*F9)+(M9*N9)+(O9*P9)</f>
        <v>4156.88</v>
      </c>
      <c r="R9" s="80"/>
    </row>
    <row r="10" spans="3:18" s="194" customFormat="1" ht="4.5999999999999996" customHeight="1" x14ac:dyDescent="0.25">
      <c r="C10" s="293"/>
      <c r="D10" s="294"/>
      <c r="E10" s="294"/>
      <c r="F10" s="294"/>
      <c r="G10" s="294"/>
      <c r="H10" s="294"/>
      <c r="I10" s="294"/>
      <c r="J10" s="294"/>
      <c r="K10" s="294"/>
      <c r="L10" s="294"/>
      <c r="M10" s="294"/>
      <c r="N10" s="294"/>
      <c r="O10" s="294"/>
      <c r="P10" s="294"/>
      <c r="Q10" s="294"/>
      <c r="R10" s="295"/>
    </row>
    <row r="11" spans="3:18" ht="78.8" customHeight="1" x14ac:dyDescent="0.25">
      <c r="C11" s="191" t="s">
        <v>149</v>
      </c>
      <c r="D11" s="191" t="s">
        <v>150</v>
      </c>
      <c r="E11" s="191" t="s">
        <v>101</v>
      </c>
      <c r="F11" s="296" t="s">
        <v>151</v>
      </c>
      <c r="G11" s="297"/>
      <c r="H11" s="297"/>
      <c r="I11" s="297"/>
      <c r="J11" s="297"/>
      <c r="K11" s="297"/>
      <c r="L11" s="297"/>
      <c r="M11" s="297"/>
      <c r="N11" s="297"/>
      <c r="O11" s="297"/>
      <c r="P11" s="298"/>
      <c r="Q11" s="59" t="s">
        <v>162</v>
      </c>
      <c r="R11" s="59" t="s">
        <v>163</v>
      </c>
    </row>
    <row r="12" spans="3:18" s="194" customFormat="1" ht="54.35" x14ac:dyDescent="0.25">
      <c r="C12" s="192">
        <v>3</v>
      </c>
      <c r="D12" s="193" t="s">
        <v>167</v>
      </c>
      <c r="E12" s="192">
        <v>1</v>
      </c>
      <c r="F12" s="304">
        <v>5000</v>
      </c>
      <c r="G12" s="305"/>
      <c r="H12" s="305"/>
      <c r="I12" s="305"/>
      <c r="J12" s="305"/>
      <c r="K12" s="305"/>
      <c r="L12" s="305"/>
      <c r="M12" s="305"/>
      <c r="N12" s="305"/>
      <c r="O12" s="305"/>
      <c r="P12" s="306"/>
      <c r="Q12" s="195">
        <f>F12*E12</f>
        <v>5000</v>
      </c>
      <c r="R12" s="80"/>
    </row>
    <row r="13" spans="3:18" s="194" customFormat="1" ht="4.5999999999999996" customHeight="1" x14ac:dyDescent="0.25">
      <c r="C13" s="293"/>
      <c r="D13" s="294"/>
      <c r="E13" s="294"/>
      <c r="F13" s="294"/>
      <c r="G13" s="294"/>
      <c r="H13" s="294"/>
      <c r="I13" s="294"/>
      <c r="J13" s="294"/>
      <c r="K13" s="294"/>
      <c r="L13" s="294"/>
      <c r="M13" s="294"/>
      <c r="N13" s="294"/>
      <c r="O13" s="294"/>
      <c r="P13" s="294"/>
      <c r="Q13" s="294"/>
      <c r="R13" s="295"/>
    </row>
    <row r="14" spans="3:18" ht="78.8" customHeight="1" x14ac:dyDescent="0.25">
      <c r="C14" s="196" t="s">
        <v>149</v>
      </c>
      <c r="D14" s="191" t="s">
        <v>150</v>
      </c>
      <c r="E14" s="191" t="s">
        <v>101</v>
      </c>
      <c r="F14" s="296" t="s">
        <v>168</v>
      </c>
      <c r="G14" s="297"/>
      <c r="H14" s="297"/>
      <c r="I14" s="297"/>
      <c r="J14" s="297"/>
      <c r="K14" s="297"/>
      <c r="L14" s="297"/>
      <c r="M14" s="297"/>
      <c r="N14" s="297"/>
      <c r="O14" s="297"/>
      <c r="P14" s="298"/>
      <c r="Q14" s="296" t="s">
        <v>162</v>
      </c>
      <c r="R14" s="298"/>
    </row>
    <row r="15" spans="3:18" s="194" customFormat="1" ht="41.95" customHeight="1" x14ac:dyDescent="0.25">
      <c r="C15" s="192">
        <v>4</v>
      </c>
      <c r="D15" s="193" t="s">
        <v>169</v>
      </c>
      <c r="E15" s="192">
        <v>3</v>
      </c>
      <c r="F15" s="299">
        <f>'Dados de Custos'!C43</f>
        <v>5575.52</v>
      </c>
      <c r="G15" s="300"/>
      <c r="H15" s="300"/>
      <c r="I15" s="300"/>
      <c r="J15" s="300"/>
      <c r="K15" s="300"/>
      <c r="L15" s="300"/>
      <c r="M15" s="300"/>
      <c r="N15" s="300"/>
      <c r="O15" s="300"/>
      <c r="P15" s="301"/>
      <c r="Q15" s="302">
        <f>F15*E15</f>
        <v>16726.560000000001</v>
      </c>
      <c r="R15" s="303"/>
    </row>
    <row r="16" spans="3:18" s="194" customFormat="1" ht="41.95" customHeight="1" x14ac:dyDescent="0.25">
      <c r="C16" s="192">
        <v>5</v>
      </c>
      <c r="D16" s="193" t="s">
        <v>170</v>
      </c>
      <c r="E16" s="197" t="s">
        <v>171</v>
      </c>
      <c r="F16" s="299">
        <f>'Dados de Custos'!C47</f>
        <v>50.69</v>
      </c>
      <c r="G16" s="300"/>
      <c r="H16" s="300"/>
      <c r="I16" s="300"/>
      <c r="J16" s="300"/>
      <c r="K16" s="300"/>
      <c r="L16" s="300"/>
      <c r="M16" s="300"/>
      <c r="N16" s="300"/>
      <c r="O16" s="300"/>
      <c r="P16" s="301"/>
      <c r="Q16" s="302">
        <f>F16*30</f>
        <v>1520.7</v>
      </c>
      <c r="R16" s="303"/>
    </row>
    <row r="17" spans="3:18" ht="21.1" x14ac:dyDescent="0.35">
      <c r="C17" s="287" t="s">
        <v>172</v>
      </c>
      <c r="D17" s="287"/>
      <c r="E17" s="287"/>
      <c r="F17" s="287"/>
      <c r="G17" s="287"/>
      <c r="H17" s="287"/>
      <c r="I17" s="287"/>
      <c r="J17" s="287"/>
      <c r="K17" s="287"/>
      <c r="L17" s="287"/>
      <c r="M17" s="287"/>
      <c r="N17" s="287"/>
      <c r="O17" s="287"/>
      <c r="P17" s="287"/>
      <c r="Q17" s="288">
        <f>SUM(Q16,Q15,Q12,Q9,Q8)</f>
        <v>37382.660000000003</v>
      </c>
      <c r="R17" s="289"/>
    </row>
    <row r="18" spans="3:18" ht="21.1" x14ac:dyDescent="0.35">
      <c r="C18" s="290" t="s">
        <v>173</v>
      </c>
      <c r="D18" s="290"/>
      <c r="E18" s="290"/>
      <c r="F18" s="290"/>
      <c r="G18" s="290"/>
      <c r="H18" s="290"/>
      <c r="I18" s="290"/>
      <c r="J18" s="290"/>
      <c r="K18" s="290"/>
      <c r="L18" s="290"/>
      <c r="M18" s="290"/>
      <c r="N18" s="290"/>
      <c r="O18" s="290"/>
      <c r="P18" s="290"/>
      <c r="Q18" s="291">
        <f>Q17*60</f>
        <v>2242959.6</v>
      </c>
      <c r="R18" s="292"/>
    </row>
  </sheetData>
  <mergeCells count="17">
    <mergeCell ref="F12:P12"/>
    <mergeCell ref="C3:R4"/>
    <mergeCell ref="M8:P8"/>
    <mergeCell ref="G9:L9"/>
    <mergeCell ref="C10:R10"/>
    <mergeCell ref="F11:P11"/>
    <mergeCell ref="C17:P17"/>
    <mergeCell ref="Q17:R17"/>
    <mergeCell ref="C18:P18"/>
    <mergeCell ref="Q18:R18"/>
    <mergeCell ref="C13:R13"/>
    <mergeCell ref="F14:P14"/>
    <mergeCell ref="Q14:R14"/>
    <mergeCell ref="F15:P15"/>
    <mergeCell ref="Q15:R15"/>
    <mergeCell ref="F16:P16"/>
    <mergeCell ref="Q16:R1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pageSetUpPr fitToPage="1"/>
  </sheetPr>
  <dimension ref="B1:H16"/>
  <sheetViews>
    <sheetView showGridLines="0" zoomScaleNormal="100" zoomScaleSheetLayoutView="130" workbookViewId="0">
      <selection activeCell="L18" sqref="L18"/>
    </sheetView>
  </sheetViews>
  <sheetFormatPr defaultColWidth="9.125" defaultRowHeight="14.3" x14ac:dyDescent="0.25"/>
  <cols>
    <col min="1" max="1" width="4" style="2" customWidth="1"/>
    <col min="2" max="2" width="2.875" style="2" customWidth="1"/>
    <col min="3" max="3" width="43.875" style="2" customWidth="1"/>
    <col min="4" max="4" width="12.5" style="2" customWidth="1"/>
    <col min="5" max="5" width="11.5" style="2" bestFit="1" customWidth="1"/>
    <col min="6" max="6" width="13.5" style="2" customWidth="1"/>
    <col min="7" max="7" width="12.875" style="2" customWidth="1"/>
    <col min="8" max="8" width="15.5" style="2" bestFit="1" customWidth="1"/>
    <col min="9" max="16384" width="9.125" style="2"/>
  </cols>
  <sheetData>
    <row r="1" spans="2:8" ht="14.95" thickBot="1" x14ac:dyDescent="0.3"/>
    <row r="2" spans="2:8" ht="14.95" thickBot="1" x14ac:dyDescent="0.3">
      <c r="C2" s="311" t="s">
        <v>99</v>
      </c>
      <c r="D2" s="312"/>
      <c r="E2" s="312"/>
      <c r="F2" s="312"/>
      <c r="G2" s="312"/>
      <c r="H2" s="313"/>
    </row>
    <row r="3" spans="2:8" ht="27.85" thickBot="1" x14ac:dyDescent="0.3">
      <c r="B3" s="3"/>
      <c r="C3" s="82" t="s">
        <v>18</v>
      </c>
      <c r="D3" s="82" t="s">
        <v>100</v>
      </c>
      <c r="E3" s="82" t="s">
        <v>101</v>
      </c>
      <c r="F3" s="82" t="s">
        <v>102</v>
      </c>
      <c r="G3" s="82" t="s">
        <v>103</v>
      </c>
      <c r="H3" s="82" t="s">
        <v>104</v>
      </c>
    </row>
    <row r="4" spans="2:8" ht="41.45" thickBot="1" x14ac:dyDescent="0.3">
      <c r="B4" s="3"/>
      <c r="C4" s="89" t="s">
        <v>164</v>
      </c>
      <c r="D4" s="85" t="s">
        <v>174</v>
      </c>
      <c r="E4" s="83">
        <v>2</v>
      </c>
      <c r="F4" s="83" t="s">
        <v>106</v>
      </c>
      <c r="G4" s="90">
        <f>'Anexo D - Planilha de Preços'!Q8</f>
        <v>9978.52</v>
      </c>
      <c r="H4" s="94">
        <f>G4*60</f>
        <v>598711.19999999995</v>
      </c>
    </row>
    <row r="5" spans="2:8" ht="41.45" thickBot="1" x14ac:dyDescent="0.3">
      <c r="B5" s="3"/>
      <c r="C5" s="69" t="s">
        <v>166</v>
      </c>
      <c r="D5" s="86" t="s">
        <v>174</v>
      </c>
      <c r="E5" s="60">
        <v>1</v>
      </c>
      <c r="F5" s="60" t="s">
        <v>106</v>
      </c>
      <c r="G5" s="91">
        <f>'Anexo D - Planilha de Preços'!Q9</f>
        <v>4156.88</v>
      </c>
      <c r="H5" s="94">
        <f t="shared" ref="H5:H6" si="0">G5*60</f>
        <v>249412.8</v>
      </c>
    </row>
    <row r="6" spans="2:8" ht="40.75" x14ac:dyDescent="0.25">
      <c r="B6" s="3"/>
      <c r="C6" s="69" t="s">
        <v>167</v>
      </c>
      <c r="D6" s="86" t="s">
        <v>175</v>
      </c>
      <c r="E6" s="61">
        <v>1</v>
      </c>
      <c r="F6" s="60" t="s">
        <v>106</v>
      </c>
      <c r="G6" s="91">
        <f>'Anexo D - Planilha de Preços'!Q12</f>
        <v>5000</v>
      </c>
      <c r="H6" s="94">
        <f t="shared" si="0"/>
        <v>300000</v>
      </c>
    </row>
    <row r="7" spans="2:8" x14ac:dyDescent="0.25">
      <c r="B7" s="3"/>
      <c r="C7" s="69" t="s">
        <v>169</v>
      </c>
      <c r="D7" s="87" t="s">
        <v>105</v>
      </c>
      <c r="E7" s="32">
        <v>3</v>
      </c>
      <c r="F7" s="62" t="s">
        <v>106</v>
      </c>
      <c r="G7" s="92">
        <f>'Anexo D - Planilha de Preços'!Q15</f>
        <v>16726.560000000001</v>
      </c>
      <c r="H7" s="95">
        <f>G7*60</f>
        <v>1003593.6</v>
      </c>
    </row>
    <row r="8" spans="2:8" ht="27.85" thickBot="1" x14ac:dyDescent="0.3">
      <c r="B8" s="3"/>
      <c r="C8" s="70" t="s">
        <v>170</v>
      </c>
      <c r="D8" s="88" t="s">
        <v>140</v>
      </c>
      <c r="E8" s="68">
        <v>30</v>
      </c>
      <c r="F8" s="84" t="s">
        <v>141</v>
      </c>
      <c r="G8" s="93">
        <f>'Anexo D - Planilha de Preços'!Q16</f>
        <v>1520.7</v>
      </c>
      <c r="H8" s="97">
        <f>G8*60</f>
        <v>91242</v>
      </c>
    </row>
    <row r="9" spans="2:8" ht="14.95" thickBot="1" x14ac:dyDescent="0.3">
      <c r="B9" s="3"/>
      <c r="C9" s="314" t="s">
        <v>21</v>
      </c>
      <c r="D9" s="315"/>
      <c r="E9" s="315"/>
      <c r="F9" s="316"/>
      <c r="G9" s="96">
        <f>SUM(G4:G8)</f>
        <v>37382.660000000003</v>
      </c>
      <c r="H9" s="96">
        <f>SUM(H4:H8)</f>
        <v>2242959.6</v>
      </c>
    </row>
    <row r="10" spans="2:8" x14ac:dyDescent="0.25">
      <c r="B10" s="3"/>
      <c r="C10" s="3"/>
      <c r="D10" s="3"/>
      <c r="E10" s="4"/>
      <c r="F10" s="4"/>
    </row>
    <row r="11" spans="2:8" x14ac:dyDescent="0.25">
      <c r="B11" s="3"/>
      <c r="C11" s="3"/>
      <c r="D11" s="3"/>
    </row>
    <row r="12" spans="2:8" x14ac:dyDescent="0.25">
      <c r="B12" s="3"/>
      <c r="C12" s="3"/>
      <c r="D12" s="3"/>
    </row>
    <row r="13" spans="2:8" x14ac:dyDescent="0.25">
      <c r="B13" s="3"/>
      <c r="C13" s="3"/>
      <c r="D13" s="3"/>
    </row>
    <row r="14" spans="2:8" x14ac:dyDescent="0.25">
      <c r="B14" s="3"/>
      <c r="C14" s="3"/>
      <c r="D14" s="3"/>
    </row>
    <row r="15" spans="2:8" x14ac:dyDescent="0.25">
      <c r="B15" s="3"/>
      <c r="C15" s="3"/>
      <c r="D15" s="3"/>
    </row>
    <row r="16" spans="2:8" x14ac:dyDescent="0.25">
      <c r="C16" s="3"/>
      <c r="D16" s="3"/>
    </row>
  </sheetData>
  <sheetProtection algorithmName="SHA-512" hashValue="xN6yIrTBx5rx2eyV4xJj5Gp7paky19F/1V/zYO7D5BG/DGeAT066UUWO5HoZDnjhcahyZLYwydTTJrNH0ldQxA==" saltValue="8wDZ8echHQuBFAZZ33H4vA==" spinCount="100000" sheet="1" objects="1" scenarios="1"/>
  <mergeCells count="2">
    <mergeCell ref="C2:H2"/>
    <mergeCell ref="C9:F9"/>
  </mergeCells>
  <phoneticPr fontId="8" type="noConversion"/>
  <printOptions horizontalCentered="1" verticalCentered="1"/>
  <pageMargins left="0.70866141732283472" right="0.70866141732283472" top="0.74803149606299213" bottom="8.6614173228346463" header="0.31496062992125984" footer="0.31496062992125984"/>
  <pageSetup paperSize="119" scale="6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B1:P39"/>
  <sheetViews>
    <sheetView workbookViewId="0">
      <selection activeCell="B2" sqref="B2:L2"/>
    </sheetView>
  </sheetViews>
  <sheetFormatPr defaultColWidth="9.125" defaultRowHeight="13.6" x14ac:dyDescent="0.25"/>
  <cols>
    <col min="1" max="1" width="2.875" style="3" customWidth="1"/>
    <col min="2" max="2" width="27.25" style="17" bestFit="1" customWidth="1"/>
    <col min="3" max="3" width="23.625" style="3" customWidth="1"/>
    <col min="4" max="4" width="10.125" style="3" bestFit="1" customWidth="1"/>
    <col min="5" max="5" width="16.125" style="3" customWidth="1"/>
    <col min="6" max="6" width="17.5" style="3" customWidth="1"/>
    <col min="7" max="7" width="13.5" style="3" bestFit="1" customWidth="1"/>
    <col min="8" max="10" width="11.5" style="3" customWidth="1"/>
    <col min="11" max="12" width="12.125" style="3" customWidth="1"/>
    <col min="13" max="13" width="12.5" style="3" bestFit="1" customWidth="1"/>
    <col min="14" max="14" width="23.125" style="3" bestFit="1" customWidth="1"/>
    <col min="15" max="15" width="10.5" style="3" customWidth="1"/>
    <col min="16" max="16" width="11.5" style="3" bestFit="1" customWidth="1"/>
    <col min="17" max="16384" width="9.125" style="3"/>
  </cols>
  <sheetData>
    <row r="1" spans="2:16" ht="14.3" thickBot="1" x14ac:dyDescent="0.3"/>
    <row r="2" spans="2:16" ht="14.95" customHeight="1" thickBot="1" x14ac:dyDescent="0.3">
      <c r="B2" s="317" t="s">
        <v>176</v>
      </c>
      <c r="C2" s="318"/>
      <c r="D2" s="318"/>
      <c r="E2" s="318"/>
      <c r="F2" s="318"/>
      <c r="G2" s="318"/>
      <c r="H2" s="318"/>
      <c r="I2" s="318"/>
      <c r="J2" s="318"/>
      <c r="K2" s="318"/>
      <c r="L2" s="319"/>
    </row>
    <row r="3" spans="2:16" ht="15.8" customHeight="1" x14ac:dyDescent="0.25">
      <c r="B3" s="332" t="s">
        <v>18</v>
      </c>
      <c r="C3" s="329" t="s">
        <v>100</v>
      </c>
      <c r="D3" s="339" t="s">
        <v>101</v>
      </c>
      <c r="E3" s="339" t="s">
        <v>107</v>
      </c>
      <c r="F3" s="337" t="s">
        <v>103</v>
      </c>
      <c r="G3" s="334" t="s">
        <v>108</v>
      </c>
      <c r="H3" s="335"/>
      <c r="I3" s="335"/>
      <c r="J3" s="335"/>
      <c r="K3" s="335"/>
      <c r="L3" s="336"/>
    </row>
    <row r="4" spans="2:16" s="20" customFormat="1" ht="45" customHeight="1" thickBot="1" x14ac:dyDescent="0.3">
      <c r="B4" s="333"/>
      <c r="C4" s="331"/>
      <c r="D4" s="340"/>
      <c r="E4" s="340"/>
      <c r="F4" s="338"/>
      <c r="G4" s="54" t="s">
        <v>109</v>
      </c>
      <c r="H4" s="55" t="s">
        <v>34</v>
      </c>
      <c r="I4" s="55" t="s">
        <v>110</v>
      </c>
      <c r="J4" s="55" t="s">
        <v>111</v>
      </c>
      <c r="K4" s="55" t="s">
        <v>112</v>
      </c>
      <c r="L4" s="56" t="s">
        <v>36</v>
      </c>
      <c r="P4" s="19"/>
    </row>
    <row r="5" spans="2:16" s="20" customFormat="1" ht="18" customHeight="1" thickBot="1" x14ac:dyDescent="0.3">
      <c r="B5" s="51" t="s">
        <v>146</v>
      </c>
      <c r="C5" s="53" t="s">
        <v>105</v>
      </c>
      <c r="D5" s="48">
        <v>3</v>
      </c>
      <c r="E5" s="49">
        <f>'Dados de Custos'!C43</f>
        <v>5575.52</v>
      </c>
      <c r="F5" s="50">
        <f>D5*E5</f>
        <v>16726.560000000001</v>
      </c>
      <c r="G5" s="52">
        <f>'Dados de Custos'!C11</f>
        <v>2004.23</v>
      </c>
      <c r="H5" s="49">
        <f>'Dados de Custos'!C17</f>
        <v>116.15</v>
      </c>
      <c r="I5" s="49">
        <f>'Dados de Custos'!C21+'Dados de Custos'!C26+'Dados de Custos'!C29</f>
        <v>627.16999999999996</v>
      </c>
      <c r="J5" s="49">
        <f>'Dados de Custos'!C32</f>
        <v>76.03</v>
      </c>
      <c r="K5" s="49">
        <f>'Dados de Custos'!C37</f>
        <v>1538.85</v>
      </c>
      <c r="L5" s="50">
        <f>'Dados de Custos'!C40</f>
        <v>1213.19</v>
      </c>
      <c r="P5" s="19"/>
    </row>
    <row r="6" spans="2:16" s="20" customFormat="1" ht="18" customHeight="1" thickBot="1" x14ac:dyDescent="0.3">
      <c r="B6" s="65"/>
      <c r="C6" s="3"/>
      <c r="D6" s="66"/>
      <c r="E6" s="67"/>
      <c r="F6" s="67"/>
      <c r="G6" s="67"/>
      <c r="H6" s="67"/>
      <c r="I6" s="67"/>
      <c r="J6" s="67"/>
      <c r="K6" s="67"/>
      <c r="L6" s="67"/>
      <c r="P6" s="19"/>
    </row>
    <row r="7" spans="2:16" ht="14.3" thickBot="1" x14ac:dyDescent="0.3">
      <c r="B7" s="317" t="s">
        <v>177</v>
      </c>
      <c r="C7" s="318"/>
      <c r="D7" s="318"/>
      <c r="E7" s="318"/>
      <c r="F7" s="318"/>
      <c r="G7" s="318"/>
      <c r="H7" s="318"/>
      <c r="I7" s="318"/>
      <c r="J7" s="318"/>
      <c r="K7" s="318"/>
      <c r="L7" s="319"/>
    </row>
    <row r="8" spans="2:16" x14ac:dyDescent="0.25">
      <c r="B8" s="327" t="s">
        <v>18</v>
      </c>
      <c r="C8" s="329" t="s">
        <v>100</v>
      </c>
      <c r="D8" s="339" t="s">
        <v>101</v>
      </c>
      <c r="E8" s="339" t="s">
        <v>178</v>
      </c>
      <c r="F8" s="337" t="s">
        <v>179</v>
      </c>
      <c r="G8" s="334" t="s">
        <v>108</v>
      </c>
      <c r="H8" s="335"/>
      <c r="I8" s="335"/>
      <c r="J8" s="335"/>
      <c r="K8" s="335"/>
      <c r="L8" s="336"/>
    </row>
    <row r="9" spans="2:16" ht="54.35" x14ac:dyDescent="0.25">
      <c r="B9" s="328"/>
      <c r="C9" s="330"/>
      <c r="D9" s="341"/>
      <c r="E9" s="341"/>
      <c r="F9" s="342"/>
      <c r="G9" s="63" t="s">
        <v>151</v>
      </c>
      <c r="H9" s="64" t="str">
        <f>'Anexo D - Planilha de Preços'!H7</f>
        <v>Valor da impressão / cópia Mono A4 (x100)</v>
      </c>
      <c r="I9" s="59" t="s">
        <v>155</v>
      </c>
      <c r="J9" s="59" t="s">
        <v>157</v>
      </c>
      <c r="K9" s="59" t="s">
        <v>159</v>
      </c>
      <c r="L9" s="59" t="s">
        <v>161</v>
      </c>
    </row>
    <row r="10" spans="2:16" x14ac:dyDescent="0.25">
      <c r="B10" s="69" t="s">
        <v>180</v>
      </c>
      <c r="C10" s="75" t="s">
        <v>174</v>
      </c>
      <c r="D10" s="61">
        <v>2</v>
      </c>
      <c r="E10" s="71">
        <f>'Anexo D - Planilha de Preços'!F8</f>
        <v>3445</v>
      </c>
      <c r="F10" s="72">
        <f>'Anexo D - Planilha de Preços'!Q8</f>
        <v>9978.52</v>
      </c>
      <c r="G10" s="77">
        <f>'Anexo D - Planilha de Preços'!F8</f>
        <v>3445</v>
      </c>
      <c r="H10" s="71">
        <f>'Anexo D - Planilha de Preços'!H8</f>
        <v>15.29</v>
      </c>
      <c r="I10" s="71">
        <f>'Anexo D - Planilha de Preços'!J8</f>
        <v>29.89</v>
      </c>
      <c r="J10" s="71">
        <f>'Anexo D - Planilha de Preços'!L8</f>
        <v>59.78</v>
      </c>
      <c r="K10" s="323"/>
      <c r="L10" s="326"/>
    </row>
    <row r="11" spans="2:16" x14ac:dyDescent="0.25">
      <c r="B11" s="69" t="s">
        <v>181</v>
      </c>
      <c r="C11" s="75" t="s">
        <v>174</v>
      </c>
      <c r="D11" s="32">
        <v>1</v>
      </c>
      <c r="E11" s="71">
        <f>'Anexo D - Planilha de Preços'!F9</f>
        <v>2100</v>
      </c>
      <c r="F11" s="72">
        <f>'Anexo D - Planilha de Preços'!Q9</f>
        <v>4156.88</v>
      </c>
      <c r="G11" s="77">
        <f>'Anexo D - Planilha de Preços'!F9</f>
        <v>2100</v>
      </c>
      <c r="H11" s="323"/>
      <c r="I11" s="324"/>
      <c r="J11" s="325"/>
      <c r="K11" s="71">
        <f>'Anexo D - Planilha de Preços'!N9</f>
        <v>2056.88</v>
      </c>
      <c r="L11" s="72">
        <f>'Anexo D - Planilha de Preços'!P9</f>
        <v>2056.88</v>
      </c>
    </row>
    <row r="12" spans="2:16" ht="14.3" thickBot="1" x14ac:dyDescent="0.3">
      <c r="B12" s="70" t="s">
        <v>182</v>
      </c>
      <c r="C12" s="76" t="s">
        <v>175</v>
      </c>
      <c r="D12" s="68">
        <v>1</v>
      </c>
      <c r="E12" s="73">
        <f>'Anexo D - Planilha de Preços'!F12</f>
        <v>5000</v>
      </c>
      <c r="F12" s="74">
        <f>'Anexo D - Planilha de Preços'!Q12</f>
        <v>5000</v>
      </c>
      <c r="G12" s="78">
        <f>'Anexo D - Planilha de Preços'!F12</f>
        <v>5000</v>
      </c>
      <c r="H12" s="320"/>
      <c r="I12" s="321"/>
      <c r="J12" s="321"/>
      <c r="K12" s="321"/>
      <c r="L12" s="322"/>
    </row>
    <row r="13" spans="2:16" ht="14.3" thickBot="1" x14ac:dyDescent="0.3"/>
    <row r="14" spans="2:16" ht="14.3" thickBot="1" x14ac:dyDescent="0.3">
      <c r="B14" s="343" t="s">
        <v>183</v>
      </c>
      <c r="C14" s="344"/>
      <c r="D14" s="344"/>
      <c r="E14" s="344"/>
      <c r="F14" s="344"/>
      <c r="G14" s="344"/>
      <c r="H14" s="344"/>
      <c r="I14" s="344"/>
      <c r="J14" s="345"/>
      <c r="K14" s="346">
        <f>'Anexo D - Planilha de Preços'!Q18</f>
        <v>2242959.6</v>
      </c>
      <c r="L14" s="347"/>
    </row>
    <row r="37" spans="5:5" ht="15.8" customHeight="1" x14ac:dyDescent="0.25"/>
    <row r="39" spans="5:5" x14ac:dyDescent="0.25">
      <c r="E39" s="18"/>
    </row>
  </sheetData>
  <sheetProtection algorithmName="SHA-512" hashValue="fe1Z0v3Am8XTf6M8neAYaMYnzWomVI+aqTigwD0+e35+wAsvq7L5EzaGCcJEvuG9N84Lm5uYFE1byWAq/lmmdQ==" saltValue="pCRjqj3xTqJC22tbPN6nvA==" spinCount="100000" sheet="1" objects="1" scenarios="1"/>
  <mergeCells count="19">
    <mergeCell ref="B14:J14"/>
    <mergeCell ref="K14:L14"/>
    <mergeCell ref="G8:L8"/>
    <mergeCell ref="B2:L2"/>
    <mergeCell ref="C3:C4"/>
    <mergeCell ref="B3:B4"/>
    <mergeCell ref="G3:L3"/>
    <mergeCell ref="F3:F4"/>
    <mergeCell ref="E3:E4"/>
    <mergeCell ref="D3:D4"/>
    <mergeCell ref="B7:L7"/>
    <mergeCell ref="H12:L12"/>
    <mergeCell ref="H11:J11"/>
    <mergeCell ref="K10:L10"/>
    <mergeCell ref="B8:B9"/>
    <mergeCell ref="C8:C9"/>
    <mergeCell ref="D8:D9"/>
    <mergeCell ref="E8:E9"/>
    <mergeCell ref="F8:F9"/>
  </mergeCells>
  <pageMargins left="0.25" right="0.25" top="0.75" bottom="0.75" header="0.3" footer="0.3"/>
  <pageSetup paperSize="9" scale="51" orientation="landscape" r:id="rId1"/>
  <ignoredErrors>
    <ignoredError sqref="F10:F12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B1:F15"/>
  <sheetViews>
    <sheetView workbookViewId="0">
      <selection activeCell="K15" sqref="K15"/>
    </sheetView>
  </sheetViews>
  <sheetFormatPr defaultColWidth="9.125" defaultRowHeight="14.3" x14ac:dyDescent="0.25"/>
  <cols>
    <col min="1" max="1" width="2.875" style="2" customWidth="1"/>
    <col min="2" max="2" width="14.875" style="2" customWidth="1"/>
    <col min="3" max="3" width="16" style="2" bestFit="1" customWidth="1"/>
    <col min="4" max="4" width="14.875" style="2" customWidth="1"/>
    <col min="5" max="5" width="15.5" style="2" bestFit="1" customWidth="1"/>
    <col min="6" max="6" width="14.875" style="2" customWidth="1"/>
    <col min="7" max="16384" width="9.125" style="2"/>
  </cols>
  <sheetData>
    <row r="1" spans="2:6" ht="14.95" thickBot="1" x14ac:dyDescent="0.3"/>
    <row r="2" spans="2:6" ht="14.95" thickBot="1" x14ac:dyDescent="0.3">
      <c r="B2" s="343" t="s">
        <v>113</v>
      </c>
      <c r="C2" s="344"/>
      <c r="D2" s="344"/>
      <c r="E2" s="344"/>
      <c r="F2" s="345"/>
    </row>
    <row r="3" spans="2:6" ht="14.95" customHeight="1" thickBot="1" x14ac:dyDescent="0.3">
      <c r="B3" s="98" t="s">
        <v>114</v>
      </c>
      <c r="C3" s="99" t="s">
        <v>115</v>
      </c>
      <c r="D3" s="100" t="s">
        <v>116</v>
      </c>
      <c r="E3" s="101" t="s">
        <v>117</v>
      </c>
      <c r="F3" s="102" t="s">
        <v>147</v>
      </c>
    </row>
    <row r="4" spans="2:6" x14ac:dyDescent="0.25">
      <c r="B4" s="107">
        <v>2025</v>
      </c>
      <c r="C4" s="108">
        <v>5</v>
      </c>
      <c r="D4" s="109">
        <f>'Orçam. sintético'!$G$9</f>
        <v>37382.660000000003</v>
      </c>
      <c r="E4" s="109">
        <f>D4*C4</f>
        <v>186913.3</v>
      </c>
      <c r="F4" s="110">
        <f>E4/$E$10</f>
        <v>8.3299999999999999E-2</v>
      </c>
    </row>
    <row r="5" spans="2:6" x14ac:dyDescent="0.25">
      <c r="B5" s="26">
        <v>2026</v>
      </c>
      <c r="C5" s="25">
        <v>12</v>
      </c>
      <c r="D5" s="71">
        <f>'Orçam. sintético'!$G$9</f>
        <v>37382.660000000003</v>
      </c>
      <c r="E5" s="71">
        <f t="shared" ref="E5:E9" si="0">D5*C5</f>
        <v>448591.92</v>
      </c>
      <c r="F5" s="111">
        <f t="shared" ref="F5:F9" si="1">E5/$E$10</f>
        <v>0.2</v>
      </c>
    </row>
    <row r="6" spans="2:6" x14ac:dyDescent="0.25">
      <c r="B6" s="26">
        <v>2027</v>
      </c>
      <c r="C6" s="25">
        <v>12</v>
      </c>
      <c r="D6" s="71">
        <f>'Orçam. sintético'!$G$9</f>
        <v>37382.660000000003</v>
      </c>
      <c r="E6" s="71">
        <f t="shared" si="0"/>
        <v>448591.92</v>
      </c>
      <c r="F6" s="111">
        <f t="shared" si="1"/>
        <v>0.2</v>
      </c>
    </row>
    <row r="7" spans="2:6" x14ac:dyDescent="0.25">
      <c r="B7" s="26">
        <v>2028</v>
      </c>
      <c r="C7" s="25">
        <v>12</v>
      </c>
      <c r="D7" s="71">
        <f>'Orçam. sintético'!$G$9</f>
        <v>37382.660000000003</v>
      </c>
      <c r="E7" s="71">
        <f t="shared" si="0"/>
        <v>448591.92</v>
      </c>
      <c r="F7" s="111">
        <f t="shared" si="1"/>
        <v>0.2</v>
      </c>
    </row>
    <row r="8" spans="2:6" x14ac:dyDescent="0.25">
      <c r="B8" s="26">
        <v>2029</v>
      </c>
      <c r="C8" s="25">
        <v>12</v>
      </c>
      <c r="D8" s="71">
        <f>'Orçam. sintético'!$G$9</f>
        <v>37382.660000000003</v>
      </c>
      <c r="E8" s="71">
        <f t="shared" si="0"/>
        <v>448591.92</v>
      </c>
      <c r="F8" s="111">
        <f t="shared" si="1"/>
        <v>0.2</v>
      </c>
    </row>
    <row r="9" spans="2:6" ht="14.95" thickBot="1" x14ac:dyDescent="0.3">
      <c r="B9" s="112">
        <v>2030</v>
      </c>
      <c r="C9" s="113">
        <v>7</v>
      </c>
      <c r="D9" s="73">
        <f>'Orçam. sintético'!$G$9</f>
        <v>37382.660000000003</v>
      </c>
      <c r="E9" s="73">
        <f t="shared" si="0"/>
        <v>261678.62</v>
      </c>
      <c r="F9" s="114">
        <f t="shared" si="1"/>
        <v>0.1167</v>
      </c>
    </row>
    <row r="10" spans="2:6" ht="14.95" thickBot="1" x14ac:dyDescent="0.3">
      <c r="B10" s="103" t="s">
        <v>21</v>
      </c>
      <c r="C10" s="104">
        <f>SUM(C4:C9)</f>
        <v>60</v>
      </c>
      <c r="D10" s="49"/>
      <c r="E10" s="105">
        <f>SUM(E4:E9)</f>
        <v>2242959.6</v>
      </c>
      <c r="F10" s="106">
        <v>1</v>
      </c>
    </row>
    <row r="13" spans="2:6" x14ac:dyDescent="0.25">
      <c r="E13" s="15"/>
    </row>
    <row r="15" spans="2:6" x14ac:dyDescent="0.25">
      <c r="E15" s="15"/>
    </row>
  </sheetData>
  <sheetProtection algorithmName="SHA-512" hashValue="hBPlhcCus4tLp+MidF+rZTnQyKaiie+OO5AeNFE5I5OFPxbF3i4sGGjF4tqHsqfNVIwRputcFO1q1X9pDa5Hpw==" saltValue="o8ZQhuIaYmN3CnD7NDhzwA==" spinCount="100000" sheet="1" objects="1" scenarios="1"/>
  <mergeCells count="1"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J g F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N N h l t q 4 A A A D 4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S 2 1 D O 0 M L f U M 7 D R h 4 n a + G b m I V Q Y A V 0 M k k U S t H E u z S k p L U q 1 K y j R d Q q y 0 Y d x b f S h n r A D A A A A / / 8 D A F B L A w Q U A A I A C A A A A C E A Q g 5 y h K Y A A A D V A A A A E w A A A E Z v c m 1 1 b G F z L 1 N l Y 3 R p b 2 4 x L m 1 s j T 0 L g z A Q h n f B / 3 C k i 4 I I z u J Q p B 2 7 N N B B H K J e q R j v J I l Q E f 9 7 Y + 3 Y W 1 5 4 P 5 6 z 2 L q e C e 6 H Z n k Q 2 J c y 2 I F U D W q V Q Q E a X R i A v y u T Q 2 9 c 3 i 3 q t J y N Q X I P N k P D P E T x W t 3 U i I X 4 L U W 9 V e W + I F c n B + A k Z D 8 x n L V D o z o W n u X L G l N p F N k n m 7 F k P Y 8 k l w l t 9 H 2 X r K v Y T f L A B J w P Q N G y b X E Y 9 P S f m n 8 A A A D / / w M A U E s B A i 0 A F A A G A A g A A A A h A C r d q k D S A A A A N w E A A B M A A A A A A A A A A A A A A A A A A A A A A F t D b 2 5 0 Z W 5 0 X 1 R 5 c G V z X S 5 4 b W x Q S w E C L Q A U A A I A C A A A A C E A N N h l t q 4 A A A D 4 A A A A E g A A A A A A A A A A A A A A A A A L A w A A Q 2 9 u Z m l n L 1 B h Y 2 t h Z 2 U u e G 1 s U E s B A i 0 A F A A C A A g A A A A h A E I O c o S m A A A A 1 Q A A A B M A A A A A A A A A A A A A A A A A 6 Q M A A E Z v c m 1 1 b G F z L 1 N l Y 3 R p b 2 4 x L m 1 Q S w U G A A A A A A M A A w D C A A A A w A Q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k o I A A A A A A A A K A g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U Y W J l b G E x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i 0 y N V Q x M z o y N z o x N i 4 1 N j g x O T U z W i I v P j x F b n R y e S B U e X B l P S J G a W x s Q 2 9 s d W 1 u V H l w Z X M i I F Z h b H V l P S J z Q U E 9 P S I v P j x F b n R y e S B U e X B l P S J G a W x s Q 2 9 s d W 1 u T m F t Z X M i I F Z h b H V l P S J z W y Z x d W 9 0 O 0 N v b H V u Y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Q 0 M z V h M j M z L T c 4 Z T k t N G J j N C 1 h O G Z j L W E y O T N m Y T g 3 O T E y M C I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E x L 0 F 1 d G 9 S Z W 1 v d m V k Q 2 9 s d W 1 u c z E u e 0 N v b H V u Y T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Z W x h M S 9 B d X R v U m V t b 3 Z l Z E N v b H V t b n M x L n t D b 2 x 1 b m E x L D B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l Z 2 H D p 8 O j b y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Z W x h M S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Z W x h M S 9 U a X B v J T I w Q W x 0 Z X J h Z G 8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F T x A U 1 N o C N N r d u p W T T X 5 R c A A A A A A g A A A A A A E G Y A A A A B A A A g A A A A 5 b m l 5 k c P P / 1 5 N Q h w d s 2 G l l 5 9 n X h o b X 0 H K X A Z 1 S r k a p 4 A A A A A D o A A A A A C A A A g A A A A G R N p T f 5 g f I j H l y k p Q X 2 v g 4 J R t k h b w 8 q o h 6 v d w d 6 e t n p Q A A A A e p q k t o I Y 1 p G L V / 5 o R B 3 R n X P C r W 1 n e x o q d 2 j 0 j b 7 u M o F y e l a u Q g X p q Z K C l B A K H 4 I s Y a I F T t i K K 2 z A 6 U j 8 F d l + 7 Y m a o q H 4 z n P K f m v j Q B g T O 5 5 A A A A A q l z P m h N V w w e d c w n 4 s 6 T X I y w a 8 g B I x 8 a B E g X g a j / E z Z 2 S R P x Y G T E f h B H 5 D w e 5 E I D g J F w m w 5 J T C L 9 E X c 9 m a M Z x l Q = = < / D a t a M a s h u p > 
</file>

<file path=customXml/itemProps1.xml><?xml version="1.0" encoding="utf-8"?>
<ds:datastoreItem xmlns:ds="http://schemas.openxmlformats.org/officeDocument/2006/customXml" ds:itemID="{0DF07657-66A7-4DE5-8295-3F13D562D44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2</vt:i4>
      </vt:variant>
    </vt:vector>
  </HeadingPairs>
  <TitlesOfParts>
    <vt:vector size="10" baseType="lpstr">
      <vt:lpstr>Dados da Empresa</vt:lpstr>
      <vt:lpstr>Dados de Custos</vt:lpstr>
      <vt:lpstr>Encargos sociais</vt:lpstr>
      <vt:lpstr>Calc. Uniformes</vt:lpstr>
      <vt:lpstr>Anexo D - Planilha de Preços</vt:lpstr>
      <vt:lpstr>Orçam. sintético</vt:lpstr>
      <vt:lpstr>Orçam. analítico</vt:lpstr>
      <vt:lpstr>Cronograma Físico-Financeiro</vt:lpstr>
      <vt:lpstr>'Dados da Empresa'!Area_de_impressao</vt:lpstr>
      <vt:lpstr>'Orçam. sintético'!Area_de_impressao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 Masella</dc:creator>
  <cp:keywords/>
  <dc:description/>
  <cp:lastModifiedBy>Caroline Zentner</cp:lastModifiedBy>
  <cp:revision/>
  <dcterms:created xsi:type="dcterms:W3CDTF">2020-05-08T18:08:10Z</dcterms:created>
  <dcterms:modified xsi:type="dcterms:W3CDTF">2025-07-08T19:09:38Z</dcterms:modified>
  <cp:category/>
  <cp:contentStatus/>
</cp:coreProperties>
</file>